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95D4A39F-3594-4F01-9C85-567FFDE1572B}" xr6:coauthVersionLast="47" xr6:coauthVersionMax="47" xr10:uidLastSave="{00000000-0000-0000-0000-000000000000}"/>
  <workbookProtection workbookAlgorithmName="SHA-512" workbookHashValue="tZcJF7mCHUPZFInGPx9exUdudlGhxXt5CmygHqVLe/5O+zIAdmkenFL22DqBEmpZ0dRsbx+me7igj8o7llHbqg==" workbookSaltValue="hPGpmepyHDEspLFv88tgIQ==" workbookSpinCount="100000" lockStructure="1"/>
  <bookViews>
    <workbookView xWindow="-120" yWindow="-120" windowWidth="29040" windowHeight="17520" tabRatio="639" firstSheet="1" activeTab="1" xr2:uid="{00000000-000D-0000-FFFF-FFFF00000000}"/>
  </bookViews>
  <sheets>
    <sheet name="Helper" sheetId="12" state="hidden" r:id="rId1"/>
    <sheet name="2026" sheetId="18" r:id="rId2"/>
    <sheet name="2025_EDSP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'2025_EDSP'!$A$12:$U$12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3" i="18" l="1"/>
  <c r="I69" i="18"/>
  <c r="G39" i="18"/>
  <c r="I39" i="18"/>
  <c r="G97" i="18"/>
  <c r="I252" i="18"/>
  <c r="G135" i="18"/>
  <c r="G202" i="18"/>
  <c r="G44" i="18"/>
  <c r="G187" i="18"/>
  <c r="G16" i="18"/>
  <c r="G259" i="18"/>
  <c r="G244" i="18"/>
  <c r="G279" i="18"/>
  <c r="G230" i="18"/>
  <c r="G134" i="18"/>
  <c r="G242" i="18" l="1"/>
  <c r="T242" i="18" s="1"/>
  <c r="T270" i="18"/>
  <c r="S270" i="18"/>
  <c r="R270" i="18"/>
  <c r="T227" i="18"/>
  <c r="S227" i="18"/>
  <c r="R227" i="18"/>
  <c r="T196" i="18"/>
  <c r="S196" i="18"/>
  <c r="R196" i="18"/>
  <c r="T182" i="18"/>
  <c r="S182" i="18"/>
  <c r="R182" i="18"/>
  <c r="Q182" i="18"/>
  <c r="T177" i="18"/>
  <c r="S177" i="18"/>
  <c r="R177" i="18"/>
  <c r="Q177" i="18"/>
  <c r="T73" i="18"/>
  <c r="S73" i="18"/>
  <c r="R73" i="18"/>
  <c r="T46" i="18"/>
  <c r="T38" i="18"/>
  <c r="S38" i="18"/>
  <c r="R38" i="18"/>
  <c r="Q38" i="18"/>
  <c r="Q46" i="18"/>
  <c r="S46" i="18"/>
  <c r="R46" i="18"/>
  <c r="R242" i="18" l="1"/>
  <c r="S242" i="18"/>
  <c r="G243" i="18"/>
  <c r="G229" i="18"/>
  <c r="G252" i="18"/>
  <c r="G223" i="18"/>
  <c r="T150" i="18"/>
  <c r="S150" i="18"/>
  <c r="R150" i="18"/>
  <c r="Q150" i="18"/>
  <c r="G302" i="18"/>
  <c r="G206" i="18" l="1"/>
  <c r="G69" i="18"/>
  <c r="G68" i="17"/>
  <c r="G102" i="17"/>
  <c r="G83" i="18" l="1"/>
  <c r="T257" i="17" l="1"/>
  <c r="I278" i="17"/>
  <c r="G278" i="17"/>
  <c r="M224" i="17"/>
  <c r="M68" i="17"/>
  <c r="I39" i="17"/>
  <c r="G146" i="17"/>
  <c r="I146" i="17"/>
  <c r="G273" i="17"/>
  <c r="I94" i="17"/>
  <c r="I91" i="17"/>
  <c r="T287" i="18"/>
  <c r="T289" i="18"/>
  <c r="T290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288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1" i="18"/>
  <c r="R151" i="18"/>
  <c r="S151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8" i="18"/>
  <c r="R178" i="18"/>
  <c r="S178" i="18"/>
  <c r="Q179" i="18"/>
  <c r="R179" i="18"/>
  <c r="S179" i="18"/>
  <c r="Q180" i="18"/>
  <c r="R180" i="18"/>
  <c r="S180" i="18"/>
  <c r="Q181" i="18"/>
  <c r="R181" i="18"/>
  <c r="S181" i="18"/>
  <c r="Q183" i="18"/>
  <c r="R183" i="18"/>
  <c r="S183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Q197" i="18"/>
  <c r="R197" i="18"/>
  <c r="S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Q228" i="18"/>
  <c r="R228" i="18"/>
  <c r="S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Q243" i="18"/>
  <c r="R243" i="18"/>
  <c r="S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Q271" i="18"/>
  <c r="R271" i="18"/>
  <c r="S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S14" i="18"/>
  <c r="R14" i="18"/>
  <c r="Q14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1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3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8" i="18"/>
  <c r="T226" i="18"/>
  <c r="T225" i="18"/>
  <c r="T224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8" i="18"/>
  <c r="T207" i="18"/>
  <c r="T205" i="18"/>
  <c r="T204" i="18"/>
  <c r="T203" i="18"/>
  <c r="T202" i="18"/>
  <c r="T201" i="18"/>
  <c r="T200" i="18"/>
  <c r="T199" i="18"/>
  <c r="T198" i="18"/>
  <c r="T197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3" i="18"/>
  <c r="T181" i="18"/>
  <c r="T180" i="18"/>
  <c r="T179" i="18"/>
  <c r="T178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1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5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5" i="18"/>
  <c r="T44" i="18"/>
  <c r="T43" i="18"/>
  <c r="T42" i="18"/>
  <c r="T41" i="18"/>
  <c r="T40" i="18"/>
  <c r="T39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4" i="17"/>
  <c r="I207" i="17"/>
  <c r="K68" i="17"/>
  <c r="T94" i="18" l="1"/>
  <c r="T206" i="18"/>
  <c r="T223" i="18"/>
  <c r="I203" i="17"/>
  <c r="I83" i="17"/>
  <c r="G23" i="17"/>
  <c r="G186" i="17"/>
  <c r="G36" i="17"/>
  <c r="G76" i="17"/>
  <c r="I224" i="17" l="1"/>
  <c r="I68" i="17"/>
  <c r="G39" i="17"/>
  <c r="G142" i="17" l="1"/>
  <c r="I142" i="17"/>
  <c r="G188" i="17"/>
  <c r="G27" i="17" l="1"/>
  <c r="G260" i="17" l="1"/>
  <c r="G245" i="17"/>
  <c r="T69" i="17"/>
  <c r="S69" i="17"/>
  <c r="R69" i="17"/>
  <c r="Q69" i="17"/>
  <c r="T49" i="17"/>
  <c r="S49" i="17"/>
  <c r="R49" i="17"/>
  <c r="Q49" i="17"/>
  <c r="G280" i="17"/>
  <c r="G230" i="17"/>
  <c r="G124" i="17"/>
  <c r="T288" i="17" l="1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4" i="17"/>
  <c r="S274" i="17"/>
  <c r="R274" i="17"/>
  <c r="Q274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T244" i="17"/>
  <c r="S244" i="17"/>
  <c r="R244" i="17"/>
  <c r="Q244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19" i="17"/>
  <c r="S219" i="17"/>
  <c r="R219" i="17"/>
  <c r="Q219" i="17"/>
  <c r="T273" i="17"/>
  <c r="S273" i="17"/>
  <c r="R273" i="17"/>
  <c r="Q273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8" i="17"/>
  <c r="S208" i="17"/>
  <c r="R208" i="17"/>
  <c r="Q208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5" i="17"/>
  <c r="S135" i="17"/>
  <c r="R135" i="17"/>
  <c r="Q135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1" i="17"/>
  <c r="S111" i="17"/>
  <c r="R111" i="17"/>
  <c r="Q111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T103" i="17"/>
  <c r="S103" i="17"/>
  <c r="R103" i="17"/>
  <c r="Q103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5" i="17"/>
  <c r="S95" i="17"/>
  <c r="R95" i="17"/>
  <c r="Q95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4" i="17"/>
  <c r="S84" i="17"/>
  <c r="R84" i="17"/>
  <c r="Q84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70" i="17"/>
  <c r="S70" i="17"/>
  <c r="R70" i="17"/>
  <c r="Q70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50" i="17"/>
  <c r="S50" i="17"/>
  <c r="R50" i="17"/>
  <c r="Q50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T102" i="17"/>
  <c r="G243" i="17"/>
  <c r="T243" i="17" s="1"/>
  <c r="Q102" i="17" l="1"/>
  <c r="R102" i="17"/>
  <c r="S102" i="17"/>
  <c r="R243" i="17"/>
  <c r="S243" i="17"/>
  <c r="G134" i="17"/>
  <c r="G207" i="17"/>
  <c r="G94" i="17"/>
  <c r="G310" i="17"/>
  <c r="G110" i="17"/>
  <c r="G83" i="17"/>
  <c r="G310" i="16"/>
  <c r="M303" i="16"/>
  <c r="K303" i="16"/>
  <c r="I303" i="16"/>
  <c r="G303" i="16"/>
  <c r="G93" i="16"/>
  <c r="I203" i="16"/>
  <c r="G203" i="16"/>
  <c r="G278" i="16"/>
  <c r="I278" i="16"/>
  <c r="T83" i="17" l="1"/>
  <c r="S83" i="17"/>
  <c r="R83" i="17"/>
  <c r="Q83" i="17"/>
  <c r="T110" i="17"/>
  <c r="S110" i="17"/>
  <c r="R110" i="17"/>
  <c r="Q110" i="17"/>
  <c r="T68" i="17"/>
  <c r="R68" i="17"/>
  <c r="Q68" i="17"/>
  <c r="S68" i="17"/>
  <c r="Q94" i="17"/>
  <c r="T94" i="17"/>
  <c r="S94" i="17"/>
  <c r="R94" i="17"/>
  <c r="T207" i="17"/>
  <c r="S207" i="17"/>
  <c r="R207" i="17"/>
  <c r="Q207" i="17"/>
  <c r="T134" i="17"/>
  <c r="S134" i="17"/>
  <c r="R134" i="17"/>
  <c r="Q134" i="17"/>
  <c r="M109" i="16"/>
  <c r="K109" i="16"/>
  <c r="I109" i="16"/>
  <c r="G109" i="16"/>
  <c r="T299" i="17"/>
  <c r="Q14" i="17"/>
  <c r="S14" i="17"/>
  <c r="R14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8" i="17"/>
  <c r="T297" i="17"/>
  <c r="T296" i="17"/>
  <c r="T295" i="17"/>
  <c r="T294" i="17"/>
  <c r="T293" i="17"/>
  <c r="T292" i="17"/>
  <c r="T291" i="17"/>
  <c r="T290" i="17"/>
  <c r="T289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<sst xmlns="http://schemas.openxmlformats.org/spreadsheetml/2006/main" count="15936" uniqueCount="973">
  <si>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</si>
  <si>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</si>
  <si>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</si>
  <si>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</si>
  <si>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</si>
  <si>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</si>
  <si>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</si>
  <si>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</si>
  <si>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</si>
  <si>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</si>
  <si>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</si>
  <si>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</si>
  <si>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</si>
  <si>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</si>
  <si>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</si>
  <si>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</si>
  <si>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</si>
  <si>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</si>
  <si>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</si>
  <si>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</si>
  <si>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</si>
  <si>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</si>
  <si>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</si>
  <si>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</si>
  <si>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</si>
  <si>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</si>
  <si>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</si>
  <si>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</si>
  <si>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</si>
  <si>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</si>
  <si>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</si>
  <si>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</si>
  <si>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</si>
  <si>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</si>
  <si>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</si>
  <si>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</si>
  <si>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</si>
  <si>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</si>
  <si>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</si>
  <si>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</si>
  <si>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</si>
  <si>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</si>
  <si>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</si>
  <si>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</si>
  <si>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</si>
  <si>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</si>
  <si>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</si>
  <si>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</si>
  <si>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</si>
  <si>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</si>
  <si>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</si>
  <si>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</si>
  <si>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</si>
  <si>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</si>
  <si>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</si>
  <si>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</si>
  <si>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</si>
  <si>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</si>
  <si>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</si>
  <si>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</si>
  <si>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</si>
  <si>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</si>
  <si>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</si>
  <si>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</si>
  <si>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</si>
  <si>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</si>
  <si>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</si>
  <si>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</si>
  <si>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</si>
  <si>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</si>
  <si>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</si>
  <si>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</si>
  <si>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</si>
  <si>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</si>
  <si>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</si>
  <si>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</si>
  <si>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</si>
  <si>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</si>
  <si>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</si>
  <si>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</si>
  <si>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</si>
  <si>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</si>
  <si>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</si>
  <si>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</si>
  <si>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</si>
  <si>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</si>
  <si>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</si>
  <si>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</si>
  <si>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</si>
  <si>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</si>
  <si>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</si>
  <si>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</si>
  <si>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</si>
  <si>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</si>
  <si>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</si>
  <si>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</si>
  <si>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</si>
  <si>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</si>
  <si>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</si>
  <si>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</si>
  <si>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</si>
  <si>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</si>
  <si>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</si>
  <si>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</si>
  <si>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</si>
  <si>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</si>
  <si>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</si>
  <si>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</si>
  <si>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</si>
  <si>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</si>
  <si>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</si>
  <si>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</si>
  <si>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</si>
  <si>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</si>
  <si>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</si>
  <si>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</si>
  <si>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</si>
  <si>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</si>
  <si>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</si>
  <si>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</si>
  <si>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</si>
  <si>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</si>
  <si>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</si>
  <si>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</si>
  <si>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</si>
  <si>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</si>
  <si>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</si>
  <si>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</si>
  <si>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</si>
  <si>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</si>
  <si>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</si>
  <si>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</si>
  <si>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</si>
  <si>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</si>
  <si>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</si>
  <si>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</si>
  <si>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</si>
  <si>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</si>
  <si>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</si>
  <si>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</si>
  <si>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</si>
  <si>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</si>
  <si>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</si>
  <si>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</si>
  <si>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</si>
  <si>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</si>
  <si>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</si>
  <si>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</si>
  <si>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</si>
  <si>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</si>
  <si>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</si>
  <si>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</si>
  <si>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</si>
  <si>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</si>
  <si>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</si>
  <si>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</si>
  <si>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</si>
  <si>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</si>
  <si>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</si>
  <si>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</si>
  <si>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</si>
  <si>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</si>
  <si>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</si>
  <si>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</si>
  <si>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</si>
  <si>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</si>
  <si>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</si>
  <si>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</si>
  <si>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</si>
  <si>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</si>
  <si>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</si>
  <si>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</si>
  <si>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</si>
  <si>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</si>
  <si>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</si>
  <si>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</si>
  <si>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</si>
  <si>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</si>
  <si>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</si>
  <si>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</si>
  <si>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</si>
  <si>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</si>
  <si>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</si>
  <si>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</si>
  <si>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</si>
  <si>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</si>
  <si>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</si>
  <si>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</si>
  <si>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</si>
  <si>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</si>
  <si>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</si>
  <si>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</si>
  <si>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</si>
  <si>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</si>
  <si>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</si>
  <si>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</si>
  <si>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</si>
  <si>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</si>
  <si>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</si>
  <si>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</si>
  <si>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</si>
  <si>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</si>
  <si>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</si>
  <si>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</si>
  <si>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</si>
  <si>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</si>
  <si>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</si>
  <si>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</si>
  <si>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</si>
  <si>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</si>
  <si>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</si>
  <si>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</si>
  <si>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</si>
  <si>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</si>
  <si>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</si>
  <si>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</si>
  <si>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</si>
  <si>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</si>
  <si>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</si>
  <si>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</si>
  <si>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</si>
  <si>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</si>
  <si>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</si>
  <si>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</si>
  <si>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</si>
  <si>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</si>
  <si>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</si>
  <si>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</si>
  <si>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</si>
  <si>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</si>
  <si>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</si>
  <si>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</si>
  <si>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</si>
  <si>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</si>
  <si>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</si>
  <si>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</si>
  <si>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</si>
  <si>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</si>
  <si>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</si>
  <si>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</si>
  <si>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</si>
  <si>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</si>
  <si>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</si>
  <si>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</si>
  <si>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</si>
  <si>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</si>
  <si>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</si>
  <si>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</si>
  <si>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</si>
  <si>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</si>
  <si>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</si>
  <si>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</si>
  <si>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</si>
  <si>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</si>
  <si>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</si>
  <si>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</si>
  <si>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</si>
  <si>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</si>
  <si>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</si>
  <si>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</si>
  <si>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</si>
  <si>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</si>
  <si>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</si>
  <si>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</si>
  <si>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</si>
  <si>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</si>
  <si>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</si>
  <si>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</si>
  <si>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</si>
  <si>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</si>
  <si>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</si>
  <si>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</si>
  <si>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</si>
  <si>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</si>
  <si>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</si>
  <si>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</si>
  <si>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</si>
  <si>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</si>
  <si>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</si>
  <si>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</si>
  <si>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</si>
  <si>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</si>
  <si>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</si>
  <si>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</si>
  <si>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</si>
  <si>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</si>
  <si>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</si>
  <si>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</si>
  <si>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</si>
  <si>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</si>
  <si>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</si>
  <si>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</si>
  <si>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</si>
  <si>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</si>
  <si>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</si>
  <si>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</si>
  <si>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</si>
  <si>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</si>
  <si>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</si>
  <si>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</si>
  <si>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</si>
  <si>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</si>
  <si>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</si>
  <si>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</si>
  <si>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</si>
  <si>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</si>
  <si>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</si>
  <si>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</si>
  <si>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</si>
  <si>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</si>
  <si>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</si>
  <si>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</si>
  <si>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</si>
  <si>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</si>
  <si>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</si>
  <si>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</si>
  <si>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</si>
  <si>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</si>
  <si>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</si>
  <si>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</si>
  <si>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</si>
  <si>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</si>
  <si>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</si>
  <si>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</si>
  <si>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</si>
  <si>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</si>
  <si>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</si>
  <si>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</si>
  <si>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</si>
  <si>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</si>
  <si>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</si>
  <si>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</si>
  <si>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</si>
  <si>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</si>
  <si>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</si>
  <si>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</si>
  <si>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</si>
  <si>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</si>
  <si>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</si>
  <si>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</si>
  <si>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</si>
  <si>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</si>
  <si>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</si>
  <si>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</si>
  <si>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</si>
  <si>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</si>
  <si>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</si>
  <si>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</si>
  <si>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</si>
  <si>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</si>
  <si>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</si>
  <si>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</si>
  <si>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</si>
  <si>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</si>
  <si>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</si>
  <si>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</si>
  <si>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</si>
  <si>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</si>
  <si>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</si>
  <si>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</si>
  <si>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</si>
  <si>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</si>
  <si>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</si>
  <si>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</si>
  <si>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</si>
  <si>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</si>
  <si>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</si>
  <si>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</si>
  <si>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</si>
  <si>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</si>
  <si>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</si>
  <si>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</si>
  <si>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</si>
  <si>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</si>
  <si>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</si>
  <si>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</si>
  <si>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</si>
  <si>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</si>
  <si>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</si>
  <si>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</si>
  <si>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</si>
  <si>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</si>
  <si>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</si>
  <si>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</si>
  <si>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</si>
  <si>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</si>
  <si>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</si>
  <si>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</si>
  <si>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</si>
  <si>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</si>
  <si>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</si>
  <si>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</si>
  <si>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</si>
  <si>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</si>
  <si>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</si>
  <si>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</si>
  <si>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</si>
  <si>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</si>
  <si>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</si>
  <si>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</si>
  <si>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</si>
  <si>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</si>
  <si>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</si>
  <si>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</si>
  <si>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</si>
  <si>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</si>
  <si>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</si>
  <si>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</si>
  <si>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</si>
  <si>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</si>
  <si>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</si>
  <si>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</si>
  <si>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</si>
  <si>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</si>
  <si>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</si>
  <si>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</si>
  <si>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</si>
  <si>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</si>
  <si>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</si>
  <si>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</si>
  <si>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</si>
  <si>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</si>
  <si>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</si>
  <si>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</si>
  <si>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</si>
  <si>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</si>
  <si>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</si>
  <si>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</si>
  <si>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</si>
  <si>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</si>
  <si>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</si>
  <si>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</si>
  <si>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</si>
  <si>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</si>
  <si>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</si>
  <si>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</si>
  <si>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</si>
  <si>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</si>
  <si>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</si>
  <si>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</si>
  <si>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</si>
  <si>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</si>
  <si>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</si>
  <si>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</si>
  <si>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</si>
  <si>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</si>
  <si>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</si>
  <si>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</si>
  <si>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</si>
  <si>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</si>
  <si>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</si>
  <si>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</si>
  <si>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</si>
  <si>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</si>
  <si>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</si>
  <si>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</si>
  <si>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</si>
  <si>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</si>
  <si>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</si>
  <si>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</si>
  <si>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</si>
  <si>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</si>
  <si>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</si>
  <si>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</si>
  <si>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</si>
  <si>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</si>
  <si>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</si>
  <si>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</si>
  <si>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</si>
  <si>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</si>
  <si>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</si>
  <si>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</si>
  <si>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</si>
  <si>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</si>
  <si>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</si>
  <si>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</si>
  <si>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</si>
  <si>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</si>
  <si>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</si>
  <si>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</si>
  <si>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</si>
  <si>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</si>
  <si>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</si>
  <si>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</si>
  <si>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</si>
  <si>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</si>
  <si>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</si>
  <si>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</si>
  <si>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</si>
  <si>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</si>
  <si>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</si>
  <si>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</si>
  <si>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</si>
  <si>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</si>
  <si>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</si>
  <si>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</si>
  <si>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</si>
  <si>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</si>
  <si>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</si>
  <si>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</si>
  <si>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</si>
  <si>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</si>
  <si>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</si>
  <si>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</si>
  <si>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</si>
  <si>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</si>
  <si>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</si>
  <si>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</si>
  <si>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</si>
  <si>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</si>
  <si>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</si>
  <si>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</si>
  <si>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</si>
  <si>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</si>
  <si>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</si>
  <si>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</si>
  <si>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</si>
  <si>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</si>
  <si>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</si>
  <si>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</si>
  <si>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</si>
  <si>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</si>
  <si>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</si>
  <si>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</si>
  <si>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</si>
  <si>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</si>
  <si>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</si>
  <si>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</si>
  <si>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</si>
  <si>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</si>
  <si>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</si>
  <si>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</si>
  <si>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</si>
  <si>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</si>
  <si>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</si>
  <si>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</si>
  <si>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</si>
  <si>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</si>
  <si>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</si>
  <si>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</si>
  <si>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</si>
  <si>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</si>
  <si>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</si>
  <si>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</si>
  <si>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</si>
  <si>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</si>
  <si>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</si>
  <si>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</si>
  <si>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</si>
  <si>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</si>
  <si>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</si>
  <si>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</si>
  <si>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</si>
  <si>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</si>
  <si>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</si>
  <si>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</si>
  <si>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</si>
  <si>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</si>
  <si>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</si>
  <si>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</si>
  <si>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</si>
  <si>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</si>
  <si>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</si>
  <si>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</si>
  <si>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</si>
  <si>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</si>
  <si>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</si>
  <si>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</si>
  <si>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</si>
  <si>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</si>
  <si>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</si>
  <si>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</si>
  <si>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</si>
  <si>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</si>
  <si>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</si>
  <si>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</si>
  <si>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</si>
  <si>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</si>
  <si>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</si>
  <si>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</si>
  <si>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</si>
  <si>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</si>
  <si>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</si>
  <si>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</si>
  <si>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</si>
  <si>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</si>
  <si>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</si>
  <si>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</si>
  <si>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</si>
  <si>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</si>
  <si>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</si>
  <si>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</si>
  <si>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</si>
  <si>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</si>
  <si>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</si>
  <si>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</si>
  <si>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</si>
  <si>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</si>
  <si>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</si>
  <si>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</si>
  <si>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</si>
  <si>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</si>
  <si>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</si>
  <si>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</si>
  <si>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</si>
  <si>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</si>
  <si>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</si>
  <si>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</si>
  <si>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</si>
  <si>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</si>
  <si>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</si>
  <si>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</si>
  <si>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</si>
  <si>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</si>
  <si>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</si>
  <si>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</si>
  <si>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</si>
  <si>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</si>
  <si>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</si>
  <si>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</si>
  <si>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</si>
  <si>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</si>
  <si>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</si>
  <si>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</si>
  <si>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</si>
  <si>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</si>
  <si>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</si>
  <si>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</si>
  <si>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</si>
  <si>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</si>
  <si>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</si>
  <si>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</si>
  <si>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</si>
  <si>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</si>
  <si>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</si>
  <si>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</si>
  <si>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</si>
  <si>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</si>
  <si>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</si>
  <si>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</si>
  <si>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</si>
  <si>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</si>
  <si>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</si>
  <si>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</si>
  <si>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</si>
  <si>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</si>
  <si>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</si>
  <si>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</si>
  <si>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</si>
  <si>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</si>
  <si>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</si>
  <si>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</si>
  <si>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</si>
  <si>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</si>
  <si>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</si>
  <si>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</si>
  <si>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</si>
  <si>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</si>
  <si>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</si>
  <si>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</si>
  <si>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</si>
  <si>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</si>
  <si>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</si>
  <si>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</si>
  <si>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</si>
  <si>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</si>
  <si>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</si>
  <si>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</si>
  <si>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</si>
  <si>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</si>
  <si>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</si>
  <si>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</si>
  <si>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</si>
  <si>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</si>
  <si>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</si>
  <si>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</si>
  <si>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</si>
  <si>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</si>
  <si>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</si>
  <si>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</si>
  <si>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</si>
  <si>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</si>
  <si>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</si>
  <si>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</si>
  <si>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</si>
  <si>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</si>
  <si>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</si>
  <si>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</si>
  <si>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</si>
  <si>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</si>
  <si>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</si>
  <si>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</si>
  <si>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</si>
  <si>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</si>
  <si>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</si>
  <si>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</si>
  <si>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</si>
  <si>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</si>
  <si>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</si>
  <si>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</si>
  <si>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</si>
  <si>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</si>
  <si>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</si>
  <si>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</si>
  <si>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</si>
  <si>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</si>
  <si>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</si>
  <si>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</si>
  <si>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</si>
  <si>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</si>
  <si>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</si>
  <si>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</si>
  <si>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</si>
  <si>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</si>
  <si>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</si>
  <si>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</si>
  <si>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</si>
  <si>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</si>
  <si>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</si>
  <si>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</si>
  <si>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</si>
  <si>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</si>
  <si>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</si>
  <si>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</si>
  <si>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</si>
  <si>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</si>
  <si>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</si>
  <si>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</si>
  <si>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</si>
  <si>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</si>
  <si>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</si>
  <si>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</si>
  <si>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</si>
  <si>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</si>
  <si>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</si>
  <si>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</si>
  <si>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</si>
  <si>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</si>
  <si>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</si>
  <si>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</si>
  <si>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</si>
  <si>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</si>
  <si>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</si>
  <si>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</si>
  <si>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</si>
  <si>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</si>
  <si>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</si>
  <si>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</si>
  <si>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</si>
  <si>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</si>
  <si>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</si>
  <si>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</si>
  <si>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</si>
  <si>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</si>
  <si>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</si>
  <si>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</si>
  <si>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</si>
  <si>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</si>
  <si>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</si>
  <si>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</si>
  <si>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</si>
  <si>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</si>
  <si>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</si>
  <si>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</si>
  <si>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</si>
  <si>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</si>
  <si>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</si>
  <si>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</si>
  <si>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</si>
  <si>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</si>
  <si>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</si>
  <si>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</si>
  <si>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</si>
  <si>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</si>
  <si>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</si>
  <si>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</si>
  <si>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</si>
  <si>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</si>
  <si>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</si>
  <si>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</si>
  <si>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</si>
  <si>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</si>
  <si>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</si>
  <si>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</si>
  <si>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</si>
  <si>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</si>
  <si>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</si>
  <si>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</si>
  <si>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</si>
  <si>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</si>
  <si>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</si>
  <si>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</si>
  <si>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</si>
  <si>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</si>
  <si>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</si>
  <si>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</si>
  <si>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</si>
  <si>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</si>
  <si>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</si>
  <si>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</si>
  <si>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</si>
  <si>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</si>
  <si>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</si>
  <si>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</si>
  <si>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</si>
  <si>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</si>
  <si>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</si>
  <si>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</si>
  <si>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</si>
  <si>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</si>
  <si>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</si>
  <si>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</si>
  <si>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</si>
  <si>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</si>
  <si>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</si>
  <si>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</si>
  <si>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</si>
  <si>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</si>
  <si>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</si>
  <si>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</si>
  <si>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</si>
  <si>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</si>
  <si>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</si>
  <si>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</si>
  <si>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</si>
  <si>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</si>
  <si>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</si>
  <si>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</si>
  <si>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</si>
  <si>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</si>
  <si>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</si>
  <si>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</si>
  <si>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</si>
  <si>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</si>
  <si>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</si>
  <si>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</si>
  <si>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</si>
  <si>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</si>
  <si>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</si>
  <si>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</si>
  <si>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</si>
  <si>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</si>
  <si>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</si>
  <si>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</si>
  <si>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</si>
  <si>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</si>
  <si>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</si>
  <si>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</si>
  <si>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</si>
  <si>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</si>
  <si>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</si>
  <si>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</si>
  <si>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</si>
  <si>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</si>
  <si>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</si>
  <si>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</si>
  <si>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</si>
  <si>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</si>
  <si>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</si>
  <si>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</si>
  <si>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</si>
  <si>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</si>
  <si>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</si>
  <si>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</si>
  <si>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</si>
  <si>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</si>
  <si>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</si>
  <si>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</si>
  <si>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</si>
  <si>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</si>
  <si>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</si>
  <si>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</si>
  <si>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</si>
  <si>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</si>
  <si>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</si>
  <si>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</si>
  <si>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</si>
  <si>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</si>
  <si>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</si>
  <si>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</si>
  <si>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</si>
  <si>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</si>
  <si>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</si>
  <si>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</si>
  <si>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</si>
  <si>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</si>
  <si>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</si>
  <si>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</si>
  <si>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</si>
  <si>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</si>
  <si>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</si>
  <si>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</si>
  <si>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</si>
  <si>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</si>
  <si>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</si>
  <si>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</si>
  <si>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</si>
  <si>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</si>
  <si>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</si>
  <si>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</si>
  <si>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</si>
  <si>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</si>
  <si>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</si>
  <si>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</si>
  <si>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</si>
  <si>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</si>
  <si>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</si>
  <si>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</si>
  <si>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</si>
  <si>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</si>
  <si>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</si>
  <si>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</si>
  <si>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</si>
  <si>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</si>
  <si>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</si>
  <si>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</si>
  <si>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</si>
  <si>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</si>
  <si>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</si>
  <si>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</si>
  <si>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</si>
  <si>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</si>
  <si>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</si>
  <si>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</si>
  <si>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</si>
  <si>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</si>
  <si>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</si>
  <si>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</si>
  <si>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</si>
  <si>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</si>
  <si>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</si>
  <si>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</si>
  <si>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</si>
  <si>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</si>
  <si>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</si>
  <si>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</si>
  <si>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</si>
  <si>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</si>
  <si>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</si>
  <si>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</si>
  <si>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</si>
  <si>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</si>
  <si>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</si>
  <si>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</si>
  <si>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</si>
  <si>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</si>
  <si>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</si>
  <si>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</si>
  <si>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</si>
  <si>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</si>
  <si>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</si>
  <si>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</si>
  <si>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</si>
  <si>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</si>
  <si>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</si>
  <si>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</si>
  <si>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</si>
  <si>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</si>
  <si>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</si>
  <si>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</si>
  <si>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</si>
  <si>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</si>
  <si>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</si>
  <si>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</si>
  <si>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</si>
  <si>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</si>
  <si>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</si>
  <si>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</si>
  <si>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</si>
  <si>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</si>
  <si>
    <t>UL8</t>
  </si>
  <si>
    <t>IG8</t>
  </si>
  <si>
    <t>EDP Renewables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</si>
</sst>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409]d\-mmm\-yy;@"/>
    <numFmt numFmtId="166" formatCode="0.0000"/>
    <numFmt numFmtId="167" formatCode="0.000000"/>
    <numFmt numFmtId="168" formatCode="0.00000"/>
    <numFmt numFmtId="169" formatCode="0.000"/>
    <numFmt numFmtId="170" formatCode="0.0000;\-0.0000;;@\,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5" fontId="2" fillId="0" borderId="4" xfId="0" applyNumberFormat="1" applyFont="1" applyBorder="1" applyProtection="1">
      <protection locked="0"/>
    </xf>
    <xf numFmtId="166" fontId="2" fillId="0" borderId="5" xfId="0" applyNumberFormat="1" applyFont="1" applyBorder="1" applyProtection="1">
      <protection locked="0"/>
    </xf>
    <xf numFmtId="165" fontId="2" fillId="0" borderId="7" xfId="0" applyNumberFormat="1" applyFont="1" applyBorder="1" applyProtection="1">
      <protection locked="0"/>
    </xf>
    <xf numFmtId="166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5" fontId="2" fillId="9" borderId="4" xfId="0" applyNumberFormat="1" applyFont="1" applyFill="1" applyBorder="1" applyProtection="1">
      <protection locked="0"/>
    </xf>
    <xf numFmtId="166" fontId="2" fillId="9" borderId="5" xfId="0" applyNumberFormat="1" applyFont="1" applyFill="1" applyBorder="1" applyProtection="1">
      <protection locked="0"/>
    </xf>
    <xf numFmtId="165" fontId="2" fillId="9" borderId="7" xfId="0" applyNumberFormat="1" applyFont="1" applyFill="1" applyBorder="1" applyProtection="1">
      <protection locked="0"/>
    </xf>
    <xf numFmtId="166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6" fontId="2" fillId="0" borderId="0" xfId="0" applyNumberFormat="1" applyFont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5" fontId="2" fillId="0" borderId="14" xfId="0" applyNumberFormat="1" applyFont="1" applyBorder="1" applyProtection="1">
      <protection locked="0"/>
    </xf>
    <xf numFmtId="166" fontId="2" fillId="0" borderId="15" xfId="0" applyNumberFormat="1" applyFont="1" applyBorder="1" applyProtection="1">
      <protection locked="0"/>
    </xf>
    <xf numFmtId="165" fontId="2" fillId="0" borderId="17" xfId="0" applyNumberFormat="1" applyFont="1" applyBorder="1" applyProtection="1">
      <protection locked="0"/>
    </xf>
    <xf numFmtId="166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5" fontId="2" fillId="0" borderId="20" xfId="0" applyNumberFormat="1" applyFont="1" applyBorder="1" applyProtection="1">
      <protection locked="0"/>
    </xf>
    <xf numFmtId="166" fontId="2" fillId="0" borderId="21" xfId="0" applyNumberFormat="1" applyFont="1" applyBorder="1" applyProtection="1">
      <protection locked="0"/>
    </xf>
    <xf numFmtId="165" fontId="2" fillId="0" borderId="23" xfId="0" applyNumberFormat="1" applyFont="1" applyBorder="1" applyProtection="1">
      <protection locked="0"/>
    </xf>
    <xf numFmtId="166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5" fontId="2" fillId="0" borderId="27" xfId="0" applyNumberFormat="1" applyFont="1" applyBorder="1" applyProtection="1">
      <protection locked="0"/>
    </xf>
    <xf numFmtId="166" fontId="2" fillId="0" borderId="28" xfId="0" applyNumberFormat="1" applyFont="1" applyBorder="1" applyProtection="1">
      <protection locked="0"/>
    </xf>
    <xf numFmtId="165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5" fontId="2" fillId="0" borderId="34" xfId="0" applyNumberFormat="1" applyFont="1" applyBorder="1" applyProtection="1">
      <protection locked="0"/>
    </xf>
    <xf numFmtId="166" fontId="2" fillId="0" borderId="35" xfId="0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6" fontId="2" fillId="0" borderId="37" xfId="0" applyNumberFormat="1" applyFont="1" applyBorder="1"/>
    <xf numFmtId="166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6" fontId="15" fillId="0" borderId="30" xfId="0" applyNumberFormat="1" applyFont="1" applyBorder="1"/>
    <xf numFmtId="166" fontId="2" fillId="2" borderId="5" xfId="0" applyNumberFormat="1" applyFont="1" applyFill="1" applyBorder="1" applyProtection="1">
      <protection locked="0"/>
    </xf>
    <xf numFmtId="165" fontId="2" fillId="8" borderId="4" xfId="0" applyNumberFormat="1" applyFont="1" applyFill="1" applyBorder="1" applyProtection="1">
      <protection locked="0"/>
    </xf>
    <xf numFmtId="166" fontId="2" fillId="8" borderId="5" xfId="0" applyNumberFormat="1" applyFont="1" applyFill="1" applyBorder="1" applyProtection="1">
      <protection locked="0"/>
    </xf>
    <xf numFmtId="165" fontId="2" fillId="8" borderId="7" xfId="0" applyNumberFormat="1" applyFont="1" applyFill="1" applyBorder="1" applyProtection="1">
      <protection locked="0"/>
    </xf>
    <xf numFmtId="166" fontId="2" fillId="8" borderId="5" xfId="0" applyNumberFormat="1" applyFont="1" applyFill="1" applyBorder="1"/>
    <xf numFmtId="166" fontId="2" fillId="2" borderId="5" xfId="0" applyNumberFormat="1" applyFont="1" applyFill="1" applyBorder="1"/>
    <xf numFmtId="166" fontId="2" fillId="9" borderId="6" xfId="0" applyNumberFormat="1" applyFont="1" applyFill="1" applyBorder="1" applyProtection="1">
      <protection locked="0"/>
    </xf>
    <xf numFmtId="166" fontId="2" fillId="8" borderId="6" xfId="0" applyNumberFormat="1" applyFont="1" applyFill="1" applyBorder="1" applyProtection="1">
      <protection locked="0"/>
    </xf>
    <xf numFmtId="166" fontId="2" fillId="0" borderId="16" xfId="0" applyNumberFormat="1" applyFont="1" applyBorder="1" applyProtection="1">
      <protection locked="0"/>
    </xf>
    <xf numFmtId="166" fontId="2" fillId="0" borderId="22" xfId="0" applyNumberFormat="1" applyFont="1" applyBorder="1" applyProtection="1">
      <protection locked="0"/>
    </xf>
    <xf numFmtId="166" fontId="2" fillId="0" borderId="38" xfId="0" applyNumberFormat="1" applyFont="1" applyBorder="1" applyProtection="1">
      <protection locked="0"/>
    </xf>
    <xf numFmtId="166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5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6" fontId="0" fillId="0" borderId="5" xfId="0" applyNumberFormat="1" applyBorder="1" applyProtection="1">
      <protection locked="0"/>
    </xf>
    <xf numFmtId="166" fontId="0" fillId="0" borderId="5" xfId="0" applyNumberFormat="1" applyBorder="1"/>
    <xf numFmtId="0" fontId="0" fillId="0" borderId="5" xfId="0" applyBorder="1"/>
    <xf numFmtId="167" fontId="0" fillId="2" borderId="5" xfId="0" applyNumberFormat="1" applyFill="1" applyBorder="1" applyProtection="1">
      <protection locked="0"/>
    </xf>
    <xf numFmtId="167" fontId="0" fillId="0" borderId="5" xfId="0" applyNumberFormat="1" applyBorder="1" applyProtection="1">
      <protection locked="0"/>
    </xf>
    <xf numFmtId="168" fontId="0" fillId="0" borderId="5" xfId="0" applyNumberFormat="1" applyBorder="1" applyProtection="1">
      <protection locked="0"/>
    </xf>
    <xf numFmtId="166" fontId="0" fillId="2" borderId="5" xfId="0" applyNumberFormat="1" applyFill="1" applyBorder="1" applyProtection="1">
      <protection locked="0"/>
    </xf>
    <xf numFmtId="165" fontId="17" fillId="11" borderId="4" xfId="0" applyNumberFormat="1" applyFont="1" applyFill="1" applyBorder="1" applyAlignment="1" applyProtection="1">
      <alignment horizontal="right"/>
      <protection locked="0"/>
    </xf>
    <xf numFmtId="166" fontId="18" fillId="11" borderId="5" xfId="0" applyNumberFormat="1" applyFont="1" applyFill="1" applyBorder="1" applyProtection="1">
      <protection locked="0"/>
    </xf>
    <xf numFmtId="165" fontId="2" fillId="11" borderId="4" xfId="0" applyNumberFormat="1" applyFont="1" applyFill="1" applyBorder="1" applyProtection="1">
      <protection locked="0"/>
    </xf>
    <xf numFmtId="166" fontId="0" fillId="11" borderId="5" xfId="0" applyNumberFormat="1" applyFill="1" applyBorder="1" applyProtection="1">
      <protection locked="0"/>
    </xf>
    <xf numFmtId="166" fontId="0" fillId="0" borderId="0" xfId="0" applyNumberFormat="1" applyProtection="1">
      <protection locked="0"/>
    </xf>
    <xf numFmtId="168" fontId="0" fillId="2" borderId="5" xfId="0" applyNumberFormat="1" applyFill="1" applyBorder="1" applyProtection="1">
      <protection locked="0"/>
    </xf>
    <xf numFmtId="0" fontId="19" fillId="0" borderId="5" xfId="0" applyFont="1" applyBorder="1"/>
    <xf numFmtId="166" fontId="0" fillId="11" borderId="5" xfId="0" applyNumberFormat="1" applyFill="1" applyBorder="1"/>
    <xf numFmtId="0" fontId="2" fillId="10" borderId="0" xfId="0" applyFont="1" applyFill="1"/>
    <xf numFmtId="165" fontId="2" fillId="0" borderId="6" xfId="0" applyNumberFormat="1" applyFont="1" applyBorder="1" applyProtection="1">
      <protection locked="0"/>
    </xf>
    <xf numFmtId="165" fontId="2" fillId="12" borderId="4" xfId="0" applyNumberFormat="1" applyFont="1" applyFill="1" applyBorder="1" applyProtection="1">
      <protection locked="0"/>
    </xf>
    <xf numFmtId="166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5" fontId="15" fillId="13" borderId="4" xfId="0" applyNumberFormat="1" applyFont="1" applyFill="1" applyBorder="1" applyAlignment="1" applyProtection="1">
      <alignment horizontal="right"/>
      <protection locked="0"/>
    </xf>
    <xf numFmtId="166" fontId="15" fillId="13" borderId="5" xfId="0" applyNumberFormat="1" applyFont="1" applyFill="1" applyBorder="1" applyProtection="1">
      <protection locked="0"/>
    </xf>
    <xf numFmtId="165" fontId="2" fillId="13" borderId="4" xfId="0" applyNumberFormat="1" applyFont="1" applyFill="1" applyBorder="1" applyProtection="1">
      <protection locked="0"/>
    </xf>
    <xf numFmtId="166" fontId="2" fillId="13" borderId="5" xfId="0" applyNumberFormat="1" applyFont="1" applyFill="1" applyBorder="1" applyProtection="1">
      <protection locked="0"/>
    </xf>
    <xf numFmtId="165" fontId="2" fillId="13" borderId="6" xfId="0" applyNumberFormat="1" applyFont="1" applyFill="1" applyBorder="1" applyProtection="1">
      <protection locked="0"/>
    </xf>
    <xf numFmtId="165" fontId="2" fillId="13" borderId="7" xfId="0" applyNumberFormat="1" applyFont="1" applyFill="1" applyBorder="1" applyProtection="1">
      <protection locked="0"/>
    </xf>
    <xf numFmtId="166" fontId="2" fillId="13" borderId="5" xfId="0" applyNumberFormat="1" applyFont="1" applyFill="1" applyBorder="1"/>
    <xf numFmtId="0" fontId="0" fillId="6" borderId="3" xfId="0" applyFill="1" applyBorder="1"/>
    <xf numFmtId="167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2" borderId="27" xfId="0" applyNumberFormat="1" applyFont="1" applyFill="1" applyBorder="1" applyProtection="1">
      <protection locked="0"/>
    </xf>
    <xf numFmtId="166" fontId="2" fillId="2" borderId="28" xfId="0" applyNumberFormat="1" applyFont="1" applyFill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0" fontId="2" fillId="0" borderId="40" xfId="0" applyFont="1" applyBorder="1"/>
    <xf numFmtId="165" fontId="2" fillId="0" borderId="39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41" xfId="0" applyNumberFormat="1" applyFont="1" applyBorder="1" applyProtection="1">
      <protection locked="0"/>
    </xf>
    <xf numFmtId="166" fontId="2" fillId="0" borderId="2" xfId="0" applyNumberFormat="1" applyFont="1" applyBorder="1" applyProtection="1">
      <protection locked="0"/>
    </xf>
    <xf numFmtId="165" fontId="2" fillId="13" borderId="23" xfId="0" applyNumberFormat="1" applyFont="1" applyFill="1" applyBorder="1" applyProtection="1">
      <protection locked="0"/>
    </xf>
    <xf numFmtId="166" fontId="2" fillId="13" borderId="21" xfId="0" applyNumberFormat="1" applyFont="1" applyFill="1" applyBorder="1" applyProtection="1">
      <protection locked="0"/>
    </xf>
    <xf numFmtId="166" fontId="2" fillId="12" borderId="42" xfId="0" applyNumberFormat="1" applyFont="1" applyFill="1" applyBorder="1" applyProtection="1">
      <protection locked="0"/>
    </xf>
    <xf numFmtId="165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5" fontId="2" fillId="9" borderId="14" xfId="0" applyNumberFormat="1" applyFont="1" applyFill="1" applyBorder="1" applyProtection="1">
      <protection locked="0"/>
    </xf>
    <xf numFmtId="166" fontId="2" fillId="9" borderId="15" xfId="0" applyNumberFormat="1" applyFont="1" applyFill="1" applyBorder="1" applyProtection="1">
      <protection locked="0"/>
    </xf>
    <xf numFmtId="165" fontId="2" fillId="9" borderId="17" xfId="0" applyNumberFormat="1" applyFont="1" applyFill="1" applyBorder="1" applyProtection="1">
      <protection locked="0"/>
    </xf>
    <xf numFmtId="165" fontId="2" fillId="15" borderId="4" xfId="0" applyNumberFormat="1" applyFont="1" applyFill="1" applyBorder="1" applyProtection="1">
      <protection locked="0"/>
    </xf>
    <xf numFmtId="166" fontId="2" fillId="15" borderId="5" xfId="0" applyNumberFormat="1" applyFont="1" applyFill="1" applyBorder="1" applyProtection="1">
      <protection locked="0"/>
    </xf>
    <xf numFmtId="165" fontId="2" fillId="15" borderId="7" xfId="0" applyNumberFormat="1" applyFont="1" applyFill="1" applyBorder="1" applyProtection="1">
      <protection locked="0"/>
    </xf>
    <xf numFmtId="166" fontId="2" fillId="15" borderId="5" xfId="0" applyNumberFormat="1" applyFont="1" applyFill="1" applyBorder="1"/>
    <xf numFmtId="166" fontId="2" fillId="0" borderId="7" xfId="0" applyNumberFormat="1" applyFont="1" applyBorder="1" applyProtection="1">
      <protection locked="0"/>
    </xf>
    <xf numFmtId="165" fontId="2" fillId="16" borderId="4" xfId="0" applyNumberFormat="1" applyFont="1" applyFill="1" applyBorder="1" applyProtection="1">
      <protection locked="0"/>
    </xf>
    <xf numFmtId="166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6" fontId="2" fillId="15" borderId="6" xfId="0" applyNumberFormat="1" applyFont="1" applyFill="1" applyBorder="1" applyProtection="1">
      <protection locked="0"/>
    </xf>
    <xf numFmtId="166" fontId="2" fillId="0" borderId="43" xfId="0" applyNumberFormat="1" applyFont="1" applyBorder="1" applyProtection="1">
      <protection locked="0"/>
    </xf>
    <xf numFmtId="170" fontId="2" fillId="0" borderId="5" xfId="0" applyNumberFormat="1" applyFont="1" applyBorder="1" applyProtection="1">
      <protection locked="0"/>
    </xf>
    <xf numFmtId="165" fontId="2" fillId="17" borderId="4" xfId="0" applyNumberFormat="1" applyFont="1" applyFill="1" applyBorder="1" applyProtection="1">
      <protection locked="0"/>
    </xf>
    <xf numFmtId="166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70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70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70" fontId="2" fillId="0" borderId="28" xfId="0" applyNumberFormat="1" applyFont="1" applyBorder="1" applyProtection="1">
      <protection locked="0"/>
    </xf>
    <xf numFmtId="166" fontId="2" fillId="0" borderId="30" xfId="0" applyNumberFormat="1" applyFont="1" applyBorder="1"/>
    <xf numFmtId="170" fontId="2" fillId="5" borderId="35" xfId="0" applyNumberFormat="1" applyFont="1" applyFill="1" applyBorder="1" applyProtection="1">
      <protection locked="0"/>
    </xf>
    <xf numFmtId="166" fontId="2" fillId="5" borderId="37" xfId="0" applyNumberFormat="1" applyFont="1" applyFill="1" applyBorder="1"/>
    <xf numFmtId="0" fontId="0" fillId="6" borderId="28" xfId="0" applyFill="1" applyBorder="1"/>
    <xf numFmtId="166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70" fontId="2" fillId="0" borderId="5" xfId="0" applyNumberFormat="1" applyFont="1" applyBorder="1"/>
    <xf numFmtId="165" fontId="2" fillId="17" borderId="1" xfId="0" applyNumberFormat="1" applyFont="1" applyFill="1" applyBorder="1" applyProtection="1">
      <protection locked="0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E6" sqref="E6"/>
    </sheetView>
  </sheetViews>
  <sheetFormatPr defaultRowHeight="15" x14ac:dyDescent="0.25"/>
  <cols>
    <col min="2" max="3" width="10.7109375" bestFit="1" customWidth="1"/>
  </cols>
  <sheetData>
    <row r="1" spans="1:26" ht="15.75" x14ac:dyDescent="0.25">
      <c r="A1">
        <v>2026</v>
      </c>
      <c r="B1" t="s">
        <v>698</v>
      </c>
      <c r="C1" t="s">
        <v>699</v>
      </c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7"/>
    </row>
    <row r="2" spans="1:26" ht="15.75" customHeight="1" x14ac:dyDescent="0.25">
      <c r="A2" t="s">
        <v>704</v>
      </c>
      <c r="B2" s="149">
        <v>46013</v>
      </c>
      <c r="C2" s="149">
        <v>46041</v>
      </c>
    </row>
    <row r="3" spans="1:26" ht="15.75" customHeight="1" x14ac:dyDescent="0.25">
      <c r="A3" t="s">
        <v>700</v>
      </c>
      <c r="B3" s="149">
        <v>46101</v>
      </c>
    </row>
    <row r="4" spans="1:26" ht="15.75" customHeight="1" x14ac:dyDescent="0.25">
      <c r="A4" t="s">
        <v>701</v>
      </c>
      <c r="B4" s="149">
        <v>46192</v>
      </c>
    </row>
    <row r="5" spans="1:26" ht="15.75" customHeight="1" x14ac:dyDescent="0.25">
      <c r="A5" t="s">
        <v>702</v>
      </c>
      <c r="B5" s="149">
        <v>46283</v>
      </c>
    </row>
    <row r="6" spans="1:26" ht="15.75" customHeight="1" x14ac:dyDescent="0.25">
      <c r="A6" t="s">
        <v>703</v>
      </c>
      <c r="B6" s="149">
        <v>46374</v>
      </c>
      <c r="C6" s="149">
        <v>46402</v>
      </c>
    </row>
    <row r="7" spans="1:26" ht="15.75" customHeight="1" x14ac:dyDescent="0.25">
      <c r="B7" s="149"/>
      <c r="C7" s="149"/>
    </row>
    <row r="8" spans="1:26" ht="15.75" x14ac:dyDescent="0.25">
      <c r="A8">
        <v>2025</v>
      </c>
      <c r="B8" t="s">
        <v>698</v>
      </c>
      <c r="C8" t="s">
        <v>699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</row>
    <row r="9" spans="1:26" ht="15.75" customHeight="1" x14ac:dyDescent="0.25">
      <c r="A9" t="s">
        <v>704</v>
      </c>
      <c r="B9" s="149">
        <v>45649</v>
      </c>
      <c r="C9" s="149">
        <v>45677</v>
      </c>
    </row>
    <row r="10" spans="1:26" ht="15.75" customHeight="1" x14ac:dyDescent="0.25">
      <c r="A10" t="s">
        <v>700</v>
      </c>
      <c r="B10" s="149">
        <v>45737</v>
      </c>
    </row>
    <row r="11" spans="1:26" ht="15.75" customHeight="1" x14ac:dyDescent="0.25">
      <c r="A11" t="s">
        <v>701</v>
      </c>
      <c r="B11" s="149">
        <v>45828</v>
      </c>
    </row>
    <row r="12" spans="1:26" ht="15.75" customHeight="1" x14ac:dyDescent="0.25">
      <c r="A12" t="s">
        <v>702</v>
      </c>
      <c r="B12" s="149">
        <v>45919</v>
      </c>
    </row>
    <row r="13" spans="1:26" ht="15.75" customHeight="1" x14ac:dyDescent="0.25">
      <c r="A13" t="s">
        <v>703</v>
      </c>
      <c r="B13" s="149">
        <v>46010</v>
      </c>
      <c r="C13" s="149">
        <v>45673</v>
      </c>
    </row>
    <row r="15" spans="1:26" ht="15.75" x14ac:dyDescent="0.25">
      <c r="A15">
        <v>2024</v>
      </c>
      <c r="B15" t="s">
        <v>698</v>
      </c>
      <c r="C15" t="s">
        <v>699</v>
      </c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7"/>
    </row>
    <row r="16" spans="1:26" ht="15.75" customHeight="1" x14ac:dyDescent="0.25">
      <c r="A16" t="s">
        <v>704</v>
      </c>
      <c r="B16" s="149">
        <v>45278</v>
      </c>
      <c r="C16" s="149">
        <v>45313</v>
      </c>
    </row>
    <row r="17" spans="1:3" ht="15.75" customHeight="1" x14ac:dyDescent="0.25">
      <c r="A17" t="s">
        <v>700</v>
      </c>
      <c r="B17" s="149">
        <v>45366</v>
      </c>
    </row>
    <row r="18" spans="1:3" ht="15.75" customHeight="1" x14ac:dyDescent="0.25">
      <c r="A18" t="s">
        <v>701</v>
      </c>
      <c r="B18" s="149">
        <v>45464</v>
      </c>
    </row>
    <row r="19" spans="1:3" ht="15.75" customHeight="1" x14ac:dyDescent="0.25">
      <c r="A19" t="s">
        <v>702</v>
      </c>
      <c r="B19" s="149">
        <v>45555</v>
      </c>
    </row>
    <row r="20" spans="1:3" ht="15.75" customHeight="1" x14ac:dyDescent="0.25">
      <c r="A20" t="s">
        <v>703</v>
      </c>
      <c r="B20" s="149">
        <v>45646</v>
      </c>
      <c r="C20" s="149">
        <v>45674</v>
      </c>
    </row>
    <row r="22" spans="1:3" x14ac:dyDescent="0.25">
      <c r="A22">
        <v>2023</v>
      </c>
      <c r="B22" t="s">
        <v>698</v>
      </c>
      <c r="C22" t="s">
        <v>699</v>
      </c>
    </row>
    <row r="23" spans="1:3" x14ac:dyDescent="0.25">
      <c r="A23" t="s">
        <v>704</v>
      </c>
      <c r="B23" s="149">
        <v>44914</v>
      </c>
      <c r="C23" s="149">
        <v>44949</v>
      </c>
    </row>
    <row r="24" spans="1:3" x14ac:dyDescent="0.25">
      <c r="A24" t="s">
        <v>700</v>
      </c>
      <c r="B24" s="149">
        <v>45002</v>
      </c>
    </row>
    <row r="25" spans="1:3" x14ac:dyDescent="0.25">
      <c r="A25" t="s">
        <v>701</v>
      </c>
      <c r="B25" s="149">
        <v>45093</v>
      </c>
    </row>
    <row r="26" spans="1:3" x14ac:dyDescent="0.25">
      <c r="A26" t="s">
        <v>702</v>
      </c>
      <c r="B26" s="149">
        <v>45184</v>
      </c>
    </row>
    <row r="27" spans="1:3" x14ac:dyDescent="0.25">
      <c r="A27" t="s">
        <v>703</v>
      </c>
      <c r="B27" s="149">
        <v>45275</v>
      </c>
      <c r="C27" s="149">
        <v>45310</v>
      </c>
    </row>
    <row r="29" spans="1:3" x14ac:dyDescent="0.25">
      <c r="A29">
        <v>2022</v>
      </c>
      <c r="B29" t="s">
        <v>698</v>
      </c>
      <c r="C29" t="s">
        <v>699</v>
      </c>
    </row>
    <row r="30" spans="1:3" x14ac:dyDescent="0.25">
      <c r="A30" t="s">
        <v>704</v>
      </c>
      <c r="B30" s="149">
        <v>44550</v>
      </c>
      <c r="C30" s="149">
        <v>44582</v>
      </c>
    </row>
    <row r="31" spans="1:3" x14ac:dyDescent="0.25">
      <c r="A31" t="s">
        <v>700</v>
      </c>
      <c r="B31" s="149">
        <v>44638</v>
      </c>
    </row>
    <row r="32" spans="1:3" x14ac:dyDescent="0.25">
      <c r="A32" t="s">
        <v>701</v>
      </c>
      <c r="B32" s="149">
        <v>44729</v>
      </c>
    </row>
    <row r="33" spans="1:3" x14ac:dyDescent="0.25">
      <c r="A33" t="s">
        <v>702</v>
      </c>
      <c r="B33" s="149">
        <v>44820</v>
      </c>
    </row>
    <row r="34" spans="1:3" x14ac:dyDescent="0.25">
      <c r="A34" t="s">
        <v>703</v>
      </c>
      <c r="B34" s="149">
        <v>44911</v>
      </c>
      <c r="C34" s="149">
        <v>44946</v>
      </c>
    </row>
    <row r="36" spans="1:3" x14ac:dyDescent="0.25">
      <c r="A36">
        <v>2021</v>
      </c>
      <c r="B36" t="s">
        <v>698</v>
      </c>
      <c r="C36" t="s">
        <v>699</v>
      </c>
    </row>
    <row r="37" spans="1:3" x14ac:dyDescent="0.25">
      <c r="A37" t="s">
        <v>704</v>
      </c>
      <c r="B37" s="149">
        <v>44186</v>
      </c>
      <c r="C37" s="149">
        <v>44214</v>
      </c>
    </row>
    <row r="38" spans="1:3" x14ac:dyDescent="0.25">
      <c r="A38" t="s">
        <v>700</v>
      </c>
      <c r="B38" s="149">
        <v>44274</v>
      </c>
      <c r="C38" s="149"/>
    </row>
    <row r="39" spans="1:3" x14ac:dyDescent="0.25">
      <c r="A39" t="s">
        <v>701</v>
      </c>
      <c r="B39" s="149">
        <v>44365</v>
      </c>
      <c r="C39" s="149"/>
    </row>
    <row r="40" spans="1:3" x14ac:dyDescent="0.25">
      <c r="A40" t="s">
        <v>702</v>
      </c>
      <c r="B40" s="149">
        <v>44456</v>
      </c>
      <c r="C40" s="149"/>
    </row>
    <row r="41" spans="1:3" x14ac:dyDescent="0.25">
      <c r="A41" t="s">
        <v>703</v>
      </c>
      <c r="B41" s="149">
        <v>44547</v>
      </c>
      <c r="C41" s="149">
        <v>44582</v>
      </c>
    </row>
    <row r="43" spans="1:3" x14ac:dyDescent="0.25">
      <c r="A43">
        <v>2020</v>
      </c>
      <c r="B43" t="s">
        <v>698</v>
      </c>
      <c r="C43" t="s">
        <v>699</v>
      </c>
    </row>
    <row r="44" spans="1:3" x14ac:dyDescent="0.25">
      <c r="A44" t="s">
        <v>704</v>
      </c>
      <c r="B44" s="149">
        <v>44183</v>
      </c>
      <c r="C44" s="149">
        <v>43850</v>
      </c>
    </row>
    <row r="45" spans="1:3" x14ac:dyDescent="0.25">
      <c r="A45" t="s">
        <v>700</v>
      </c>
      <c r="B45" s="149">
        <v>43910</v>
      </c>
    </row>
    <row r="46" spans="1:3" x14ac:dyDescent="0.25">
      <c r="A46" t="s">
        <v>701</v>
      </c>
      <c r="B46" s="149">
        <v>44001</v>
      </c>
    </row>
    <row r="47" spans="1:3" x14ac:dyDescent="0.25">
      <c r="A47" t="s">
        <v>702</v>
      </c>
      <c r="B47" s="149">
        <v>44092</v>
      </c>
    </row>
    <row r="48" spans="1:3" x14ac:dyDescent="0.2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43847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2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2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2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2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2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2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2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2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2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2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2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2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2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2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2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2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2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2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2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2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2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2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2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2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2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2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2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2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2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2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2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2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2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2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2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2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2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2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2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2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2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2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2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2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2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2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2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2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2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2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2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2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2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2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2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2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2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2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2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2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2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2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2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2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2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2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2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2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2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2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2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2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2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.75" thickBot="1" x14ac:dyDescent="0.3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2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.75" thickBot="1" x14ac:dyDescent="0.3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2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2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2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2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2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2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2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2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2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2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2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2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2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2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2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2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2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2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2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2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2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2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2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2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2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2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2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2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2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2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2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2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2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2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2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2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2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2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2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2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2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2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2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2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2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2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2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2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2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2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2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2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2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2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2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2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2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2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2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2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2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43482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618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2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2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2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2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2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2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2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2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2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2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2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2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2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2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2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2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2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2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2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2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2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2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2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2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2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2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2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2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2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2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2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2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2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2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2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2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2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2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2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2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2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2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2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2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2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2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2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2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2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2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2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2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2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2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2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2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2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2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2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2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2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2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2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2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2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2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2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2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2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2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2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2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2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2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2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2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2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2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2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2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2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2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2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2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2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2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2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2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2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2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2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2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2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2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2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2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2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2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2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2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2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2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2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2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2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2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2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2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2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2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2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2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2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2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2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2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2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2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2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2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2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2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2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2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2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2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2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2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2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2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2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2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2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2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2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2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2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2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2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2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2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2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2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2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2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2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2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2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2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2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2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2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2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2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2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2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2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2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2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2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2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2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2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2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2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2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2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2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2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2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2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2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2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2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2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2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2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2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2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2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2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2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2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2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2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2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2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2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2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2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2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2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2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2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2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2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2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2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2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2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2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2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2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2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2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2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2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2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2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2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2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2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2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2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2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2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2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2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2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2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2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2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.75" thickBot="1" x14ac:dyDescent="0.3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2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.75" thickBot="1" x14ac:dyDescent="0.3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2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2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2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2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2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2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2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2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2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2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2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2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2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2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2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2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2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2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2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2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2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2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2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2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2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2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2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2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2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2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2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2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2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2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2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L9" s="182" t="s">
        <v>0</v>
      </c>
      <c r="M9" s="182"/>
      <c r="N9" s="1"/>
      <c r="O9" s="2" t="s">
        <v>1</v>
      </c>
      <c r="P9" s="3">
        <v>43084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25">
      <c r="B11" s="4" t="s">
        <v>2</v>
      </c>
      <c r="C11" s="5"/>
      <c r="D11" s="5"/>
      <c r="E11" s="5"/>
      <c r="F11" s="183" t="s">
        <v>3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2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2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2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2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2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2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2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2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2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2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2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2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2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2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2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2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2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2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2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2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2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2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2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2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2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2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2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2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2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2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2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2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2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2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2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2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2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2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2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2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2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2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2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2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2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2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2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2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2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2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2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2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2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2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2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2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2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2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2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2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2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2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2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2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2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2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2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2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2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2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2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2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2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2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2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2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2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2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2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2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2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2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2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2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2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2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2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2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2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2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2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2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2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2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2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2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2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2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2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2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2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2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2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2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2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2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2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2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2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2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2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2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2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2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2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2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2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2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2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2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2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2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2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2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2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2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2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2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2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2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2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2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2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2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2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2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2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2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2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2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2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2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2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2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2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2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2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2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2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2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2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2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2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2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2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2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2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2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2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2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2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2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2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2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2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2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2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2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2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2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2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2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2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2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2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2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2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2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2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2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2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2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2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2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2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2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2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2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2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2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2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2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2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2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2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2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2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2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2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2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2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2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2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2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2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2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2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2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2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2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2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2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2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2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2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2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2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2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2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2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.75" thickBot="1" x14ac:dyDescent="0.3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2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.75" thickBot="1" x14ac:dyDescent="0.3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2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2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2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2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2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2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2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2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2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2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2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2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2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2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2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2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2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2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2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2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2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2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2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2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2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2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2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2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2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2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2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2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2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2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2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2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2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2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2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25"/>
  <cols>
    <col min="1" max="1" width="3" customWidth="1"/>
    <col min="2" max="2" width="36" customWidth="1"/>
    <col min="3" max="3" width="14.28515625" customWidth="1"/>
    <col min="4" max="4" width="9" bestFit="1" customWidth="1"/>
    <col min="5" max="5" width="5.42578125" customWidth="1"/>
    <col min="6" max="6" width="9.5703125" style="1" bestFit="1" customWidth="1"/>
    <col min="7" max="7" width="10.5703125" style="1" bestFit="1" customWidth="1"/>
    <col min="8" max="8" width="10.28515625" style="1" bestFit="1" customWidth="1"/>
    <col min="9" max="9" width="9.28515625" style="1" customWidth="1"/>
    <col min="10" max="10" width="9.5703125" style="1" bestFit="1" customWidth="1"/>
    <col min="11" max="15" width="9.28515625" style="1" customWidth="1"/>
    <col min="16" max="16" width="10.7109375" style="1" customWidth="1"/>
    <col min="17" max="17" width="3.5703125" customWidth="1"/>
    <col min="18" max="16384" width="9.28515625" hidden="1"/>
  </cols>
  <sheetData>
    <row r="1" spans="2:16" x14ac:dyDescent="0.25"/>
    <row r="2" spans="2:16" x14ac:dyDescent="0.25"/>
    <row r="3" spans="2:16" x14ac:dyDescent="0.25"/>
    <row r="4" spans="2:16" x14ac:dyDescent="0.25"/>
    <row r="5" spans="2:16" x14ac:dyDescent="0.25"/>
    <row r="6" spans="2:16" x14ac:dyDescent="0.25"/>
    <row r="7" spans="2:16" x14ac:dyDescent="0.25"/>
    <row r="8" spans="2:16" ht="49.5" customHeight="1" x14ac:dyDescent="0.25"/>
    <row r="9" spans="2:16" ht="15" customHeight="1" x14ac:dyDescent="0.25">
      <c r="L9" s="182" t="s">
        <v>0</v>
      </c>
      <c r="M9" s="182"/>
      <c r="O9" s="2" t="s">
        <v>1</v>
      </c>
      <c r="P9" s="3">
        <v>42720</v>
      </c>
    </row>
    <row r="10" spans="2:16" ht="3.75" customHeight="1" x14ac:dyDescent="0.25">
      <c r="O10" s="2"/>
      <c r="P10" s="3"/>
    </row>
    <row r="11" spans="2:16" ht="34.5" customHeight="1" x14ac:dyDescent="0.25">
      <c r="B11" s="4" t="s">
        <v>2</v>
      </c>
      <c r="C11" s="5"/>
      <c r="D11" s="5"/>
      <c r="E11" s="183" t="s">
        <v>672</v>
      </c>
      <c r="F11" s="183"/>
      <c r="G11" s="183"/>
      <c r="H11" s="183"/>
      <c r="I11" s="183"/>
      <c r="J11" s="183"/>
      <c r="K11" s="183"/>
      <c r="L11" s="183"/>
      <c r="M11" s="183"/>
      <c r="N11" s="183"/>
      <c r="O11" s="6"/>
      <c r="P11" s="103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x14ac:dyDescent="0.2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x14ac:dyDescent="0.2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x14ac:dyDescent="0.2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x14ac:dyDescent="0.2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x14ac:dyDescent="0.2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x14ac:dyDescent="0.2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x14ac:dyDescent="0.2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x14ac:dyDescent="0.2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x14ac:dyDescent="0.2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x14ac:dyDescent="0.2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x14ac:dyDescent="0.2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x14ac:dyDescent="0.2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x14ac:dyDescent="0.2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x14ac:dyDescent="0.2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x14ac:dyDescent="0.2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x14ac:dyDescent="0.2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x14ac:dyDescent="0.2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x14ac:dyDescent="0.2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x14ac:dyDescent="0.2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x14ac:dyDescent="0.2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x14ac:dyDescent="0.2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x14ac:dyDescent="0.2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x14ac:dyDescent="0.2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x14ac:dyDescent="0.2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x14ac:dyDescent="0.2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x14ac:dyDescent="0.2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x14ac:dyDescent="0.2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x14ac:dyDescent="0.2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x14ac:dyDescent="0.2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x14ac:dyDescent="0.2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x14ac:dyDescent="0.2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x14ac:dyDescent="0.2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x14ac:dyDescent="0.2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x14ac:dyDescent="0.2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x14ac:dyDescent="0.2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x14ac:dyDescent="0.2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x14ac:dyDescent="0.2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x14ac:dyDescent="0.2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x14ac:dyDescent="0.2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x14ac:dyDescent="0.2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x14ac:dyDescent="0.2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x14ac:dyDescent="0.2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x14ac:dyDescent="0.2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x14ac:dyDescent="0.2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x14ac:dyDescent="0.2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x14ac:dyDescent="0.2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x14ac:dyDescent="0.2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x14ac:dyDescent="0.2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x14ac:dyDescent="0.2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x14ac:dyDescent="0.2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x14ac:dyDescent="0.2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x14ac:dyDescent="0.2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x14ac:dyDescent="0.2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x14ac:dyDescent="0.2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x14ac:dyDescent="0.2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x14ac:dyDescent="0.2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x14ac:dyDescent="0.2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x14ac:dyDescent="0.2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x14ac:dyDescent="0.2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x14ac:dyDescent="0.2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x14ac:dyDescent="0.2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x14ac:dyDescent="0.2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x14ac:dyDescent="0.2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x14ac:dyDescent="0.2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x14ac:dyDescent="0.2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x14ac:dyDescent="0.2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x14ac:dyDescent="0.2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x14ac:dyDescent="0.2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x14ac:dyDescent="0.2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x14ac:dyDescent="0.2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x14ac:dyDescent="0.2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x14ac:dyDescent="0.2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x14ac:dyDescent="0.2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x14ac:dyDescent="0.2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x14ac:dyDescent="0.2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x14ac:dyDescent="0.2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x14ac:dyDescent="0.2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x14ac:dyDescent="0.2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x14ac:dyDescent="0.2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x14ac:dyDescent="0.2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x14ac:dyDescent="0.2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x14ac:dyDescent="0.2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x14ac:dyDescent="0.2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x14ac:dyDescent="0.2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x14ac:dyDescent="0.2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x14ac:dyDescent="0.2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x14ac:dyDescent="0.2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x14ac:dyDescent="0.2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x14ac:dyDescent="0.2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x14ac:dyDescent="0.2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x14ac:dyDescent="0.2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x14ac:dyDescent="0.2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x14ac:dyDescent="0.2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x14ac:dyDescent="0.2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x14ac:dyDescent="0.2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x14ac:dyDescent="0.2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x14ac:dyDescent="0.2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x14ac:dyDescent="0.2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x14ac:dyDescent="0.2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x14ac:dyDescent="0.2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x14ac:dyDescent="0.2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x14ac:dyDescent="0.2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x14ac:dyDescent="0.2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x14ac:dyDescent="0.2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x14ac:dyDescent="0.2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x14ac:dyDescent="0.2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x14ac:dyDescent="0.2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x14ac:dyDescent="0.2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x14ac:dyDescent="0.2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x14ac:dyDescent="0.2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x14ac:dyDescent="0.2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x14ac:dyDescent="0.2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x14ac:dyDescent="0.2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x14ac:dyDescent="0.2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x14ac:dyDescent="0.2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x14ac:dyDescent="0.2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x14ac:dyDescent="0.2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x14ac:dyDescent="0.2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x14ac:dyDescent="0.2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x14ac:dyDescent="0.2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x14ac:dyDescent="0.2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x14ac:dyDescent="0.2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x14ac:dyDescent="0.2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x14ac:dyDescent="0.2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x14ac:dyDescent="0.2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x14ac:dyDescent="0.2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x14ac:dyDescent="0.2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x14ac:dyDescent="0.2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x14ac:dyDescent="0.2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x14ac:dyDescent="0.2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x14ac:dyDescent="0.2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x14ac:dyDescent="0.2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x14ac:dyDescent="0.2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x14ac:dyDescent="0.2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x14ac:dyDescent="0.2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x14ac:dyDescent="0.2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x14ac:dyDescent="0.2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x14ac:dyDescent="0.2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x14ac:dyDescent="0.2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x14ac:dyDescent="0.2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x14ac:dyDescent="0.2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x14ac:dyDescent="0.2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x14ac:dyDescent="0.2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x14ac:dyDescent="0.2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x14ac:dyDescent="0.2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x14ac:dyDescent="0.2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x14ac:dyDescent="0.2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x14ac:dyDescent="0.2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x14ac:dyDescent="0.2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x14ac:dyDescent="0.2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x14ac:dyDescent="0.2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x14ac:dyDescent="0.2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x14ac:dyDescent="0.2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x14ac:dyDescent="0.2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x14ac:dyDescent="0.2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x14ac:dyDescent="0.2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x14ac:dyDescent="0.2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x14ac:dyDescent="0.2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x14ac:dyDescent="0.2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x14ac:dyDescent="0.2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x14ac:dyDescent="0.2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x14ac:dyDescent="0.2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x14ac:dyDescent="0.2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x14ac:dyDescent="0.2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x14ac:dyDescent="0.2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x14ac:dyDescent="0.2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x14ac:dyDescent="0.2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x14ac:dyDescent="0.2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x14ac:dyDescent="0.2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x14ac:dyDescent="0.2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x14ac:dyDescent="0.2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ht="15.75" thickBot="1" x14ac:dyDescent="0.3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x14ac:dyDescent="0.2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ht="15.75" thickBot="1" x14ac:dyDescent="0.3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x14ac:dyDescent="0.2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x14ac:dyDescent="0.2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x14ac:dyDescent="0.2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x14ac:dyDescent="0.2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x14ac:dyDescent="0.2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x14ac:dyDescent="0.2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x14ac:dyDescent="0.2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x14ac:dyDescent="0.2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x14ac:dyDescent="0.2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x14ac:dyDescent="0.2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x14ac:dyDescent="0.2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x14ac:dyDescent="0.2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x14ac:dyDescent="0.2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x14ac:dyDescent="0.2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x14ac:dyDescent="0.2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x14ac:dyDescent="0.2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x14ac:dyDescent="0.2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x14ac:dyDescent="0.2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x14ac:dyDescent="0.2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x14ac:dyDescent="0.2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x14ac:dyDescent="0.2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x14ac:dyDescent="0.2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x14ac:dyDescent="0.2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x14ac:dyDescent="0.2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x14ac:dyDescent="0.2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x14ac:dyDescent="0.2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x14ac:dyDescent="0.2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x14ac:dyDescent="0.2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x14ac:dyDescent="0.2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x14ac:dyDescent="0.2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x14ac:dyDescent="0.2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x14ac:dyDescent="0.2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x14ac:dyDescent="0.2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x14ac:dyDescent="0.2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x14ac:dyDescent="0.2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x14ac:dyDescent="0.2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x14ac:dyDescent="0.2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x14ac:dyDescent="0.2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x14ac:dyDescent="0.2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x14ac:dyDescent="0.2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x14ac:dyDescent="0.2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x14ac:dyDescent="0.2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x14ac:dyDescent="0.2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x14ac:dyDescent="0.2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x14ac:dyDescent="0.2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x14ac:dyDescent="0.2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x14ac:dyDescent="0.2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x14ac:dyDescent="0.2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x14ac:dyDescent="0.2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x14ac:dyDescent="0.25"/>
    <row r="252" spans="2:16" x14ac:dyDescent="0.25"/>
    <row r="253" spans="2:16" x14ac:dyDescent="0.25"/>
    <row r="254" spans="2:16" x14ac:dyDescent="0.25"/>
    <row r="255" spans="2:16" x14ac:dyDescent="0.25"/>
    <row r="256" spans="2:16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25"/>
  <cols>
    <col min="1" max="1" width="3" customWidth="1"/>
    <col min="2" max="2" width="30.28515625" customWidth="1"/>
    <col min="3" max="3" width="14.28515625" customWidth="1"/>
    <col min="4" max="4" width="9" bestFit="1" customWidth="1"/>
    <col min="5" max="5" width="5.42578125" customWidth="1"/>
    <col min="6" max="6" width="9.5703125" bestFit="1" customWidth="1"/>
    <col min="7" max="7" width="10.5703125" bestFit="1" customWidth="1"/>
    <col min="8" max="8" width="9.5703125" bestFit="1" customWidth="1"/>
    <col min="9" max="13" width="9.28515625" customWidth="1"/>
    <col min="14" max="14" width="10.7109375" customWidth="1"/>
    <col min="15" max="15" width="3.5703125" customWidth="1"/>
    <col min="16" max="16384" width="9.28515625" hidden="1"/>
  </cols>
  <sheetData>
    <row r="1" spans="2:14" x14ac:dyDescent="0.25"/>
    <row r="2" spans="2:14" x14ac:dyDescent="0.25"/>
    <row r="3" spans="2:14" x14ac:dyDescent="0.25"/>
    <row r="4" spans="2:14" x14ac:dyDescent="0.25"/>
    <row r="5" spans="2:14" x14ac:dyDescent="0.25"/>
    <row r="6" spans="2:14" x14ac:dyDescent="0.25"/>
    <row r="7" spans="2:14" x14ac:dyDescent="0.25"/>
    <row r="8" spans="2:14" ht="31.5" customHeight="1" x14ac:dyDescent="0.25"/>
    <row r="9" spans="2:14" ht="15" customHeight="1" x14ac:dyDescent="0.25">
      <c r="J9" s="182" t="s">
        <v>0</v>
      </c>
      <c r="K9" s="182"/>
      <c r="M9" s="83" t="s">
        <v>1</v>
      </c>
      <c r="N9" s="84">
        <v>42356</v>
      </c>
    </row>
    <row r="10" spans="2:14" ht="3.75" customHeight="1" x14ac:dyDescent="0.25">
      <c r="G10" s="85"/>
      <c r="M10" s="83"/>
      <c r="N10" s="84"/>
    </row>
    <row r="11" spans="2:14" ht="34.5" customHeight="1" x14ac:dyDescent="0.25">
      <c r="B11" s="4" t="s">
        <v>2</v>
      </c>
      <c r="C11" s="5"/>
      <c r="D11" s="5"/>
      <c r="E11" s="183" t="s">
        <v>641</v>
      </c>
      <c r="F11" s="183"/>
      <c r="G11" s="183"/>
      <c r="H11" s="183"/>
      <c r="I11" s="183"/>
      <c r="J11" s="183"/>
      <c r="K11" s="183"/>
      <c r="L11" s="183"/>
      <c r="M11" s="86"/>
      <c r="N11" s="87"/>
    </row>
    <row r="12" spans="2:14" x14ac:dyDescent="0.2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2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x14ac:dyDescent="0.2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x14ac:dyDescent="0.2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x14ac:dyDescent="0.2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x14ac:dyDescent="0.2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x14ac:dyDescent="0.2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x14ac:dyDescent="0.2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x14ac:dyDescent="0.2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x14ac:dyDescent="0.2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x14ac:dyDescent="0.2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x14ac:dyDescent="0.2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x14ac:dyDescent="0.2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x14ac:dyDescent="0.2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x14ac:dyDescent="0.2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x14ac:dyDescent="0.2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x14ac:dyDescent="0.2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x14ac:dyDescent="0.2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x14ac:dyDescent="0.2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x14ac:dyDescent="0.2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x14ac:dyDescent="0.2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x14ac:dyDescent="0.2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x14ac:dyDescent="0.2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x14ac:dyDescent="0.2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x14ac:dyDescent="0.2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x14ac:dyDescent="0.2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x14ac:dyDescent="0.2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x14ac:dyDescent="0.2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x14ac:dyDescent="0.2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x14ac:dyDescent="0.2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x14ac:dyDescent="0.2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x14ac:dyDescent="0.2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x14ac:dyDescent="0.2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x14ac:dyDescent="0.2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x14ac:dyDescent="0.2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x14ac:dyDescent="0.2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x14ac:dyDescent="0.2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x14ac:dyDescent="0.2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x14ac:dyDescent="0.2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x14ac:dyDescent="0.2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x14ac:dyDescent="0.2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x14ac:dyDescent="0.2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x14ac:dyDescent="0.2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x14ac:dyDescent="0.2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x14ac:dyDescent="0.2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x14ac:dyDescent="0.2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x14ac:dyDescent="0.2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x14ac:dyDescent="0.2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x14ac:dyDescent="0.2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x14ac:dyDescent="0.2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x14ac:dyDescent="0.2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x14ac:dyDescent="0.2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x14ac:dyDescent="0.2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x14ac:dyDescent="0.2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x14ac:dyDescent="0.2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x14ac:dyDescent="0.2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x14ac:dyDescent="0.2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x14ac:dyDescent="0.2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x14ac:dyDescent="0.2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x14ac:dyDescent="0.2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x14ac:dyDescent="0.2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x14ac:dyDescent="0.2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x14ac:dyDescent="0.2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x14ac:dyDescent="0.2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x14ac:dyDescent="0.2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x14ac:dyDescent="0.2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x14ac:dyDescent="0.2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x14ac:dyDescent="0.2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x14ac:dyDescent="0.2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x14ac:dyDescent="0.2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x14ac:dyDescent="0.2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x14ac:dyDescent="0.2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x14ac:dyDescent="0.2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x14ac:dyDescent="0.2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x14ac:dyDescent="0.2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x14ac:dyDescent="0.2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x14ac:dyDescent="0.2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x14ac:dyDescent="0.2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x14ac:dyDescent="0.2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x14ac:dyDescent="0.2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x14ac:dyDescent="0.2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x14ac:dyDescent="0.2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x14ac:dyDescent="0.2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x14ac:dyDescent="0.2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x14ac:dyDescent="0.2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x14ac:dyDescent="0.2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x14ac:dyDescent="0.2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x14ac:dyDescent="0.2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x14ac:dyDescent="0.2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x14ac:dyDescent="0.2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x14ac:dyDescent="0.2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x14ac:dyDescent="0.2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x14ac:dyDescent="0.2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x14ac:dyDescent="0.2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x14ac:dyDescent="0.2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x14ac:dyDescent="0.2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x14ac:dyDescent="0.2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x14ac:dyDescent="0.2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x14ac:dyDescent="0.2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x14ac:dyDescent="0.2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x14ac:dyDescent="0.2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x14ac:dyDescent="0.2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x14ac:dyDescent="0.2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x14ac:dyDescent="0.2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x14ac:dyDescent="0.2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x14ac:dyDescent="0.2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x14ac:dyDescent="0.2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x14ac:dyDescent="0.2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x14ac:dyDescent="0.2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x14ac:dyDescent="0.2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x14ac:dyDescent="0.2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x14ac:dyDescent="0.2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x14ac:dyDescent="0.2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x14ac:dyDescent="0.2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x14ac:dyDescent="0.2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x14ac:dyDescent="0.2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x14ac:dyDescent="0.2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x14ac:dyDescent="0.2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x14ac:dyDescent="0.2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x14ac:dyDescent="0.2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x14ac:dyDescent="0.2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x14ac:dyDescent="0.2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x14ac:dyDescent="0.2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x14ac:dyDescent="0.2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x14ac:dyDescent="0.2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x14ac:dyDescent="0.2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x14ac:dyDescent="0.2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x14ac:dyDescent="0.2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x14ac:dyDescent="0.2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x14ac:dyDescent="0.2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x14ac:dyDescent="0.2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x14ac:dyDescent="0.2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x14ac:dyDescent="0.2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x14ac:dyDescent="0.2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x14ac:dyDescent="0.2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x14ac:dyDescent="0.2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x14ac:dyDescent="0.2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x14ac:dyDescent="0.2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x14ac:dyDescent="0.2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x14ac:dyDescent="0.2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x14ac:dyDescent="0.2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x14ac:dyDescent="0.2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x14ac:dyDescent="0.2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x14ac:dyDescent="0.2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x14ac:dyDescent="0.2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x14ac:dyDescent="0.2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x14ac:dyDescent="0.2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x14ac:dyDescent="0.2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x14ac:dyDescent="0.2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x14ac:dyDescent="0.2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x14ac:dyDescent="0.2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x14ac:dyDescent="0.2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x14ac:dyDescent="0.2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x14ac:dyDescent="0.2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x14ac:dyDescent="0.2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x14ac:dyDescent="0.2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x14ac:dyDescent="0.2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x14ac:dyDescent="0.2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x14ac:dyDescent="0.2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x14ac:dyDescent="0.2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x14ac:dyDescent="0.2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x14ac:dyDescent="0.2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x14ac:dyDescent="0.2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x14ac:dyDescent="0.2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x14ac:dyDescent="0.2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x14ac:dyDescent="0.2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x14ac:dyDescent="0.2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x14ac:dyDescent="0.2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x14ac:dyDescent="0.2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x14ac:dyDescent="0.2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x14ac:dyDescent="0.2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x14ac:dyDescent="0.2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x14ac:dyDescent="0.2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x14ac:dyDescent="0.2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x14ac:dyDescent="0.2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x14ac:dyDescent="0.2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x14ac:dyDescent="0.2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x14ac:dyDescent="0.2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x14ac:dyDescent="0.2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x14ac:dyDescent="0.2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x14ac:dyDescent="0.2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x14ac:dyDescent="0.2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x14ac:dyDescent="0.2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x14ac:dyDescent="0.2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x14ac:dyDescent="0.2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x14ac:dyDescent="0.2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x14ac:dyDescent="0.2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x14ac:dyDescent="0.2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x14ac:dyDescent="0.2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x14ac:dyDescent="0.2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x14ac:dyDescent="0.2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x14ac:dyDescent="0.2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x14ac:dyDescent="0.2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x14ac:dyDescent="0.2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x14ac:dyDescent="0.2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x14ac:dyDescent="0.2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x14ac:dyDescent="0.2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x14ac:dyDescent="0.2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x14ac:dyDescent="0.2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x14ac:dyDescent="0.2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x14ac:dyDescent="0.2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x14ac:dyDescent="0.2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x14ac:dyDescent="0.2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x14ac:dyDescent="0.2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x14ac:dyDescent="0.2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x14ac:dyDescent="0.25"/>
    <row r="227" spans="2:14" x14ac:dyDescent="0.25"/>
    <row r="228" spans="2:14" x14ac:dyDescent="0.25"/>
    <row r="229" spans="2:14" x14ac:dyDescent="0.25"/>
    <row r="230" spans="2:14" x14ac:dyDescent="0.25"/>
    <row r="231" spans="2:14" x14ac:dyDescent="0.25"/>
    <row r="232" spans="2:14" x14ac:dyDescent="0.2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3"/>
  <sheetViews>
    <sheetView showGridLines="0" tabSelected="1" zoomScale="85" zoomScaleNormal="85" workbookViewId="0">
      <pane xSplit="1" ySplit="12" topLeftCell="B318" activePane="bottomRight" state="frozen"/>
      <selection pane="topRight" activeCell="B1" sqref="B1"/>
      <selection pane="bottomLeft" activeCell="A13" sqref="A13"/>
      <selection pane="bottomRight" activeCell="D348" sqref="D348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46163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46125</v>
      </c>
      <c r="G14" s="16">
        <v>1.1499999999999999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1.1499999999999999</v>
      </c>
      <c r="S14" s="152">
        <f t="shared" ref="S14:S77" si="2">IF(F14&lt;=Exp26Q3,G14,0)+IF(H14&lt;=Exp26Q3,I14,0)+IF(J14&lt;=Exp26Q3,K14,0)+IF(L14&lt;=Exp26Q3,M14,0)+IF(N14&lt;=Exp26Q3,O14,0)</f>
        <v>1.1499999999999999</v>
      </c>
      <c r="T14" s="18">
        <f t="shared" ref="T14:T77" si="3">G14+I14+K14+M14+O14</f>
        <v>1.1499999999999999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46104</v>
      </c>
      <c r="G15" s="16">
        <v>0.94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0.94</v>
      </c>
      <c r="S15" s="152">
        <f t="shared" si="2"/>
        <v>0.94</v>
      </c>
      <c r="T15" s="18">
        <f t="shared" si="3"/>
        <v>0.94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47">
        <v>46136</v>
      </c>
      <c r="G16" s="148">
        <f>0.7*0.98945329</f>
        <v>0.69261730300000002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0.69261730300000002</v>
      </c>
      <c r="S16" s="152">
        <f t="shared" si="2"/>
        <v>0.69261730300000002</v>
      </c>
      <c r="T16" s="18">
        <f t="shared" si="3"/>
        <v>0.69261730300000002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3"/>
        <v>0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46043</v>
      </c>
      <c r="G19" s="16">
        <v>0.45700000000000002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0.45700000000000002</v>
      </c>
      <c r="R19" s="152">
        <f t="shared" si="1"/>
        <v>0.45700000000000002</v>
      </c>
      <c r="S19" s="152">
        <f t="shared" si="2"/>
        <v>0.45700000000000002</v>
      </c>
      <c r="T19" s="18">
        <f t="shared" si="3"/>
        <v>0.45700000000000002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46132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1</v>
      </c>
      <c r="S20" s="152">
        <f t="shared" si="2"/>
        <v>1</v>
      </c>
      <c r="T20" s="18">
        <f t="shared" si="3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46150</v>
      </c>
      <c r="G21" s="16">
        <v>2.8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2.8</v>
      </c>
      <c r="S21" s="152">
        <f t="shared" si="2"/>
        <v>2.8</v>
      </c>
      <c r="T21" s="18">
        <f t="shared" si="3"/>
        <v>2.8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/>
      <c r="G22" s="16"/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</v>
      </c>
      <c r="T22" s="18">
        <f t="shared" si="3"/>
        <v>0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46135</v>
      </c>
      <c r="G23" s="16">
        <v>1.0900000000000001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1.0900000000000001</v>
      </c>
      <c r="S23" s="152">
        <f t="shared" si="2"/>
        <v>1.0900000000000001</v>
      </c>
      <c r="T23" s="18">
        <f t="shared" si="3"/>
        <v>1.0900000000000001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46122</v>
      </c>
      <c r="G25" s="16">
        <v>0.73</v>
      </c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0.73</v>
      </c>
      <c r="S25" s="152">
        <f t="shared" si="2"/>
        <v>0.73</v>
      </c>
      <c r="T25" s="18">
        <f t="shared" si="3"/>
        <v>0.73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46160</v>
      </c>
      <c r="G26" s="16">
        <v>3.7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3.7</v>
      </c>
      <c r="S26" s="152">
        <f t="shared" si="2"/>
        <v>3.7</v>
      </c>
      <c r="T26" s="18">
        <f t="shared" si="3"/>
        <v>3.7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46133</v>
      </c>
      <c r="G27" s="16">
        <v>3.2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3.2</v>
      </c>
      <c r="S27" s="152">
        <f t="shared" si="2"/>
        <v>3.2</v>
      </c>
      <c r="T27" s="18">
        <f t="shared" si="3"/>
        <v>3.2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46069</v>
      </c>
      <c r="G28" s="16">
        <v>0.66149999999999998</v>
      </c>
      <c r="H28" s="15">
        <v>46154</v>
      </c>
      <c r="I28" s="16">
        <v>0.66149999999999998</v>
      </c>
      <c r="J28" s="15"/>
      <c r="K28" s="16"/>
      <c r="L28" s="15"/>
      <c r="M28" s="63"/>
      <c r="N28" s="17"/>
      <c r="O28" s="16"/>
      <c r="P28" s="16"/>
      <c r="Q28" s="152">
        <f t="shared" si="0"/>
        <v>0.66149999999999998</v>
      </c>
      <c r="R28" s="152">
        <f t="shared" si="1"/>
        <v>1.323</v>
      </c>
      <c r="S28" s="152">
        <f t="shared" si="2"/>
        <v>1.323</v>
      </c>
      <c r="T28" s="18">
        <f t="shared" si="3"/>
        <v>1.323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46139</v>
      </c>
      <c r="G29" s="16">
        <v>1.54</v>
      </c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1.54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46135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9</v>
      </c>
      <c r="S30" s="152">
        <f t="shared" si="2"/>
        <v>9</v>
      </c>
      <c r="T30" s="18">
        <f t="shared" si="3"/>
        <v>9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46150</v>
      </c>
      <c r="G31" s="16">
        <v>17.100000000000001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17.100000000000001</v>
      </c>
      <c r="S31" s="152">
        <f t="shared" si="2"/>
        <v>17.100000000000001</v>
      </c>
      <c r="T31" s="18">
        <f t="shared" si="3"/>
        <v>17.100000000000001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46036</v>
      </c>
      <c r="G33" s="16">
        <v>0.53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0.53</v>
      </c>
      <c r="R33" s="152">
        <f t="shared" si="1"/>
        <v>0.53</v>
      </c>
      <c r="S33" s="152">
        <f t="shared" si="2"/>
        <v>0.53</v>
      </c>
      <c r="T33" s="18">
        <f t="shared" si="3"/>
        <v>0.53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46153</v>
      </c>
      <c r="G34" s="16">
        <v>0.2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0.2</v>
      </c>
      <c r="T34" s="18">
        <f t="shared" si="3"/>
        <v>0.2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46111</v>
      </c>
      <c r="G35" s="16">
        <v>2.7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2.7</v>
      </c>
      <c r="S35" s="152">
        <f t="shared" si="2"/>
        <v>2.7</v>
      </c>
      <c r="T35" s="18">
        <f t="shared" si="3"/>
        <v>2.7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46149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1</v>
      </c>
      <c r="S37" s="152">
        <f t="shared" si="2"/>
        <v>1</v>
      </c>
      <c r="T37" s="18">
        <f t="shared" si="3"/>
        <v>1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46107</v>
      </c>
      <c r="G38" s="16">
        <v>480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>IF(F38&lt;=Exp26Q1,G38,0)+IF(H38&lt;=Exp26Q1,I38,0)+IF(J38&lt;=Exp26Q1,K38,0)+IF(L38&lt;=Exp26Q1,M38,0)+IF(N38&lt;=Exp26Q1,O38,0)</f>
        <v>0</v>
      </c>
      <c r="R38" s="152">
        <f>IF(F38&lt;=Exp26H1,G38,0)+IF(H38&lt;=Exp26H1,I38,0)+IF(J38&lt;=Exp26H1,K38,0)+IF(L38&lt;=Exp26H1,M38,0)+IF(N38&lt;=Exp26H1,O38,0)</f>
        <v>480</v>
      </c>
      <c r="S38" s="152">
        <f>IF(F38&lt;=Exp26Q3,G38,0)+IF(H38&lt;=Exp26Q3,I38,0)+IF(J38&lt;=Exp26Q3,K38,0)+IF(L38&lt;=Exp26Q3,M38,0)+IF(N38&lt;=Exp26Q3,O38,0)</f>
        <v>480</v>
      </c>
      <c r="T38" s="18">
        <f>G38+I38+K38+M38+O38</f>
        <v>480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46065</v>
      </c>
      <c r="G39" s="16">
        <f>0.15/1.19</f>
        <v>0.12605042016806722</v>
      </c>
      <c r="H39" s="15">
        <v>46154</v>
      </c>
      <c r="I39" s="16">
        <f>0.15/1.1765</f>
        <v>0.12749681257968548</v>
      </c>
      <c r="J39" s="15"/>
      <c r="K39" s="16"/>
      <c r="L39" s="15"/>
      <c r="M39" s="63"/>
      <c r="N39" s="17"/>
      <c r="O39" s="16"/>
      <c r="P39" s="16"/>
      <c r="Q39" s="152">
        <f t="shared" si="0"/>
        <v>0.12605042016806722</v>
      </c>
      <c r="R39" s="152">
        <f t="shared" si="1"/>
        <v>0.2535472327477527</v>
      </c>
      <c r="S39" s="152">
        <f t="shared" si="2"/>
        <v>0.2535472327477527</v>
      </c>
      <c r="T39" s="18">
        <f t="shared" si="3"/>
        <v>0.2535472327477527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46062</v>
      </c>
      <c r="G40" s="16">
        <v>1.6</v>
      </c>
      <c r="H40" s="15">
        <v>46136</v>
      </c>
      <c r="I40" s="16">
        <v>2.7</v>
      </c>
      <c r="J40" s="15"/>
      <c r="K40" s="16"/>
      <c r="L40" s="15"/>
      <c r="M40" s="63"/>
      <c r="N40" s="17"/>
      <c r="O40" s="16"/>
      <c r="P40" s="16"/>
      <c r="Q40" s="152">
        <f t="shared" si="0"/>
        <v>1.6</v>
      </c>
      <c r="R40" s="152">
        <f t="shared" si="1"/>
        <v>4.3000000000000007</v>
      </c>
      <c r="S40" s="152">
        <f t="shared" si="2"/>
        <v>4.3000000000000007</v>
      </c>
      <c r="T40" s="18">
        <f t="shared" si="3"/>
        <v>4.3000000000000007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/>
      <c r="G41" s="16"/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</v>
      </c>
      <c r="T41" s="18">
        <f t="shared" si="3"/>
        <v>0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46141</v>
      </c>
      <c r="G42" s="16">
        <v>3.2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3.2</v>
      </c>
      <c r="S42" s="152">
        <f t="shared" si="2"/>
        <v>3.2</v>
      </c>
      <c r="T42" s="18">
        <f t="shared" si="3"/>
        <v>3.2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46072</v>
      </c>
      <c r="G43" s="16">
        <v>2.17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2.17</v>
      </c>
      <c r="R43" s="152">
        <f t="shared" si="1"/>
        <v>2.17</v>
      </c>
      <c r="S43" s="152">
        <f t="shared" si="2"/>
        <v>2.17</v>
      </c>
      <c r="T43" s="18">
        <f t="shared" si="3"/>
        <v>2.17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46141</v>
      </c>
      <c r="G44" s="148">
        <f>1.5*0.99424626</f>
        <v>1.49136939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1.49136939</v>
      </c>
      <c r="S44" s="152">
        <f t="shared" si="2"/>
        <v>1.49136939</v>
      </c>
      <c r="T44" s="18">
        <f t="shared" si="3"/>
        <v>1.49136939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46066</v>
      </c>
      <c r="G45" s="16">
        <v>1.6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1.6</v>
      </c>
      <c r="R45" s="152">
        <f t="shared" si="1"/>
        <v>1.6</v>
      </c>
      <c r="S45" s="152">
        <f t="shared" si="2"/>
        <v>1.6</v>
      </c>
      <c r="T45" s="18">
        <f t="shared" si="3"/>
        <v>1.6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46107</v>
      </c>
      <c r="G46" s="16">
        <v>26.2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>IF(F46&lt;=Exp26Q1,G46,0)+IF(H46&lt;=Exp26Q1,I46,0)+IF(J46&lt;=Exp26Q1,K46,0)+IF(L46&lt;=Exp26Q1,M46,0)+IF(N46&lt;=Exp26Q1,O46,0)</f>
        <v>0</v>
      </c>
      <c r="R46" s="152">
        <f>IF(F46&lt;=Exp26H1,G46,0)+IF(H46&lt;=Exp26H1,I46,0)+IF(J46&lt;=Exp26H1,K46,0)+IF(L46&lt;=Exp26H1,M46,0)+IF(N46&lt;=Exp26H1,O46,0)</f>
        <v>26.2</v>
      </c>
      <c r="S46" s="152">
        <f>IF(F46&lt;=Exp26Q3,G46,0)+IF(H46&lt;=Exp26Q3,I46,0)+IF(J46&lt;=Exp26Q3,K46,0)+IF(L46&lt;=Exp26Q3,M46,0)+IF(N46&lt;=Exp26Q3,O46,0)</f>
        <v>26.2</v>
      </c>
      <c r="T46" s="18">
        <f>G46+I46+K46+M46+O46</f>
        <v>26.2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46153</v>
      </c>
      <c r="G47" s="16">
        <v>2.3199999999999998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2.3199999999999998</v>
      </c>
      <c r="S47" s="152">
        <f t="shared" si="2"/>
        <v>2.3199999999999998</v>
      </c>
      <c r="T47" s="18">
        <f t="shared" si="3"/>
        <v>2.3199999999999998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46135</v>
      </c>
      <c r="G48" s="16">
        <v>22.8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22.8</v>
      </c>
      <c r="S48" s="152">
        <f t="shared" si="2"/>
        <v>22.8</v>
      </c>
      <c r="T48" s="18">
        <f t="shared" si="3"/>
        <v>22.8</v>
      </c>
    </row>
    <row r="49" spans="2:20" x14ac:dyDescent="0.2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25">
      <c r="B50" s="117" t="s">
        <v>964</v>
      </c>
      <c r="C50" s="136" t="s">
        <v>965</v>
      </c>
      <c r="D50" s="14" t="s">
        <v>941</v>
      </c>
      <c r="E50" s="14" t="s">
        <v>16</v>
      </c>
      <c r="F50" s="15">
        <v>46160</v>
      </c>
      <c r="G50" s="16">
        <v>0.86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0.86</v>
      </c>
      <c r="S50" s="152">
        <f t="shared" si="2"/>
        <v>0.86</v>
      </c>
      <c r="T50" s="18">
        <f t="shared" si="3"/>
        <v>0.86</v>
      </c>
    </row>
    <row r="51" spans="2:20" x14ac:dyDescent="0.25">
      <c r="B51" s="117" t="s">
        <v>86</v>
      </c>
      <c r="C51" s="136" t="s">
        <v>87</v>
      </c>
      <c r="D51" s="14" t="s">
        <v>15</v>
      </c>
      <c r="E51" s="14" t="s">
        <v>16</v>
      </c>
      <c r="F51" s="15">
        <v>46120</v>
      </c>
      <c r="G51" s="16">
        <v>0.6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0.6</v>
      </c>
      <c r="S51" s="152">
        <f t="shared" si="2"/>
        <v>0.6</v>
      </c>
      <c r="T51" s="18">
        <f t="shared" si="3"/>
        <v>0.6</v>
      </c>
    </row>
    <row r="52" spans="2:20" x14ac:dyDescent="0.25">
      <c r="B52" s="117" t="s">
        <v>88</v>
      </c>
      <c r="C52" s="136" t="s">
        <v>940</v>
      </c>
      <c r="D52" s="14" t="s">
        <v>941</v>
      </c>
      <c r="E52" s="14" t="s">
        <v>16</v>
      </c>
      <c r="F52" s="15">
        <v>46132</v>
      </c>
      <c r="G52" s="16">
        <v>0.54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0.54</v>
      </c>
      <c r="S52" s="152">
        <f t="shared" si="2"/>
        <v>0.54</v>
      </c>
      <c r="T52" s="18">
        <f t="shared" si="3"/>
        <v>0.54</v>
      </c>
    </row>
    <row r="53" spans="2:20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46014</v>
      </c>
      <c r="G53" s="16">
        <v>7.0000000000000007E-2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7.0000000000000007E-2</v>
      </c>
      <c r="R53" s="152">
        <f t="shared" si="1"/>
        <v>7.0000000000000007E-2</v>
      </c>
      <c r="S53" s="152">
        <f t="shared" si="2"/>
        <v>7.0000000000000007E-2</v>
      </c>
      <c r="T53" s="18">
        <f t="shared" si="3"/>
        <v>7.0000000000000007E-2</v>
      </c>
    </row>
    <row r="54" spans="2:20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46142</v>
      </c>
      <c r="G54" s="16">
        <v>0.125</v>
      </c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0.125</v>
      </c>
      <c r="S54" s="152">
        <f t="shared" si="2"/>
        <v>0.125</v>
      </c>
      <c r="T54" s="18">
        <f t="shared" si="3"/>
        <v>0.125</v>
      </c>
    </row>
    <row r="55" spans="2:20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46135</v>
      </c>
      <c r="G55" s="16">
        <v>0.45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0.45</v>
      </c>
      <c r="S55" s="152">
        <f t="shared" si="2"/>
        <v>0.45</v>
      </c>
      <c r="T55" s="18">
        <f t="shared" si="3"/>
        <v>0.45</v>
      </c>
    </row>
    <row r="56" spans="2:20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46112</v>
      </c>
      <c r="G56" s="16">
        <v>0.15493301000000001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0.15493301000000001</v>
      </c>
      <c r="S56" s="152">
        <f t="shared" si="2"/>
        <v>0.15493301000000001</v>
      </c>
      <c r="T56" s="18">
        <f t="shared" si="3"/>
        <v>0.15493301000000001</v>
      </c>
    </row>
    <row r="57" spans="2:20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46072</v>
      </c>
      <c r="G57" s="16">
        <v>5.6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5.6</v>
      </c>
      <c r="R57" s="152">
        <f t="shared" si="1"/>
        <v>5.6</v>
      </c>
      <c r="S57" s="152">
        <f t="shared" si="2"/>
        <v>5.6</v>
      </c>
      <c r="T57" s="18">
        <f t="shared" si="3"/>
        <v>5.6</v>
      </c>
    </row>
    <row r="58" spans="2:20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46146</v>
      </c>
      <c r="G58" s="16">
        <v>2.25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2.25</v>
      </c>
      <c r="S58" s="152">
        <f t="shared" si="2"/>
        <v>2.25</v>
      </c>
      <c r="T58" s="18">
        <f t="shared" si="3"/>
        <v>2.25</v>
      </c>
    </row>
    <row r="59" spans="2:20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46136</v>
      </c>
      <c r="G59" s="16">
        <v>6.25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6.25</v>
      </c>
      <c r="S59" s="152">
        <f t="shared" si="2"/>
        <v>6.25</v>
      </c>
      <c r="T59" s="18">
        <f t="shared" si="3"/>
        <v>6.25</v>
      </c>
    </row>
    <row r="60" spans="2:20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46139</v>
      </c>
      <c r="G60" s="16">
        <v>0.11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0.11</v>
      </c>
      <c r="S60" s="152">
        <f t="shared" si="2"/>
        <v>0.11</v>
      </c>
      <c r="T60" s="18">
        <f t="shared" si="3"/>
        <v>0.11</v>
      </c>
    </row>
    <row r="61" spans="2:20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46139</v>
      </c>
      <c r="G61" s="16">
        <v>1.58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1.58</v>
      </c>
      <c r="S61" s="152">
        <f t="shared" si="2"/>
        <v>1.58</v>
      </c>
      <c r="T61" s="18">
        <f t="shared" si="3"/>
        <v>1.58</v>
      </c>
    </row>
    <row r="62" spans="2:20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46136</v>
      </c>
      <c r="G62" s="16">
        <v>1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1</v>
      </c>
      <c r="S62" s="152">
        <f t="shared" si="2"/>
        <v>1</v>
      </c>
      <c r="T62" s="18">
        <f t="shared" si="3"/>
        <v>1</v>
      </c>
    </row>
    <row r="63" spans="2:20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46157</v>
      </c>
      <c r="G63" s="16">
        <v>1.95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1.95</v>
      </c>
      <c r="S63" s="152">
        <f t="shared" si="2"/>
        <v>1.95</v>
      </c>
      <c r="T63" s="18">
        <f t="shared" si="3"/>
        <v>1.95</v>
      </c>
    </row>
    <row r="64" spans="2:20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46156</v>
      </c>
      <c r="G64" s="16">
        <v>4.4000000000000004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4.4000000000000004</v>
      </c>
      <c r="S64" s="152">
        <f t="shared" si="2"/>
        <v>4.4000000000000004</v>
      </c>
      <c r="T64" s="18">
        <f t="shared" si="3"/>
        <v>4.4000000000000004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46160</v>
      </c>
      <c r="G65" s="16">
        <v>2.57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2.57</v>
      </c>
      <c r="S65" s="152">
        <f t="shared" si="2"/>
        <v>2.57</v>
      </c>
      <c r="T65" s="18">
        <f t="shared" si="3"/>
        <v>2.57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">
        <v>46141</v>
      </c>
      <c r="G66" s="16">
        <v>11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11</v>
      </c>
      <c r="S66" s="152">
        <f t="shared" si="2"/>
        <v>11</v>
      </c>
      <c r="T66" s="18">
        <f t="shared" si="3"/>
        <v>11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</v>
      </c>
      <c r="T67" s="18">
        <f t="shared" si="3"/>
        <v>0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46140</v>
      </c>
      <c r="G68" s="16">
        <v>2.1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2.1</v>
      </c>
      <c r="S68" s="152">
        <f t="shared" si="2"/>
        <v>2.1</v>
      </c>
      <c r="T68" s="18">
        <f t="shared" si="3"/>
        <v>2.1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46072</v>
      </c>
      <c r="G69" s="16">
        <f>0.0832*100/1.1845*0.8724</f>
        <v>6.1277906289573654</v>
      </c>
      <c r="H69" s="15">
        <v>46156</v>
      </c>
      <c r="I69" s="16">
        <f>0.0832*100/1.1715*0.86713</f>
        <v>6.1583624413145541</v>
      </c>
      <c r="J69" s="15"/>
      <c r="K69" s="16"/>
      <c r="L69" s="15"/>
      <c r="M69" s="63"/>
      <c r="N69" s="17"/>
      <c r="O69" s="16"/>
      <c r="P69" s="16"/>
      <c r="Q69" s="152">
        <f t="shared" si="0"/>
        <v>6.1277906289573654</v>
      </c>
      <c r="R69" s="152">
        <f t="shared" si="1"/>
        <v>12.286153070271919</v>
      </c>
      <c r="S69" s="152">
        <f t="shared" si="2"/>
        <v>12.286153070271919</v>
      </c>
      <c r="T69" s="18">
        <f t="shared" si="3"/>
        <v>12.286153070271919</v>
      </c>
    </row>
    <row r="70" spans="2:20" x14ac:dyDescent="0.25">
      <c r="B70" s="117" t="s">
        <v>966</v>
      </c>
      <c r="C70" s="136" t="s">
        <v>967</v>
      </c>
      <c r="D70" s="14" t="s">
        <v>941</v>
      </c>
      <c r="E70" s="14" t="s">
        <v>16</v>
      </c>
      <c r="F70" s="15">
        <v>46160</v>
      </c>
      <c r="G70" s="16">
        <v>0.56000000000000005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0.56000000000000005</v>
      </c>
      <c r="S70" s="152">
        <f t="shared" si="2"/>
        <v>0.56000000000000005</v>
      </c>
      <c r="T70" s="18">
        <f t="shared" si="3"/>
        <v>0.56000000000000005</v>
      </c>
    </row>
    <row r="71" spans="2:20" x14ac:dyDescent="0.2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25">
      <c r="B72" s="117" t="s">
        <v>902</v>
      </c>
      <c r="C72" s="136" t="s">
        <v>903</v>
      </c>
      <c r="D72" s="14" t="s">
        <v>15</v>
      </c>
      <c r="E72" s="14" t="s">
        <v>16</v>
      </c>
      <c r="F72" s="15">
        <v>46163</v>
      </c>
      <c r="G72" s="16">
        <v>1.9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1.9</v>
      </c>
      <c r="S72" s="152">
        <f t="shared" si="2"/>
        <v>1.9</v>
      </c>
      <c r="T72" s="18">
        <f t="shared" si="3"/>
        <v>1.9</v>
      </c>
    </row>
    <row r="73" spans="2:20" x14ac:dyDescent="0.2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46020</v>
      </c>
      <c r="G73" s="16">
        <v>60.06</v>
      </c>
      <c r="H73" s="15">
        <v>46107</v>
      </c>
      <c r="I73" s="16">
        <v>61.26</v>
      </c>
      <c r="J73" s="15"/>
      <c r="K73" s="16"/>
      <c r="L73" s="15"/>
      <c r="M73" s="63"/>
      <c r="N73" s="17"/>
      <c r="O73" s="16"/>
      <c r="P73" s="16"/>
      <c r="Q73" s="152">
        <f t="shared" si="0"/>
        <v>60.06</v>
      </c>
      <c r="R73" s="152">
        <f>IF(F73&lt;=Exp26H1,G73,0)+IF(H73&lt;=Exp26H1,I73,0)+IF(J73&lt;=Exp26H1,K73,0)+IF(L73&lt;=Exp26H1,M73,0)+IF(N73&lt;=Exp26H1,O73,0)</f>
        <v>121.32</v>
      </c>
      <c r="S73" s="152">
        <f>IF(F73&lt;=Exp26Q3,G73,0)+IF(H73&lt;=Exp26Q3,I73,0)+IF(J73&lt;=Exp26Q3,K73,0)+IF(L73&lt;=Exp26Q3,M73,0)+IF(N73&lt;=Exp26Q3,O73,0)</f>
        <v>121.32</v>
      </c>
      <c r="T73" s="18">
        <f>G73+I73+K73+M73+O73</f>
        <v>121.32</v>
      </c>
    </row>
    <row r="74" spans="2:20" x14ac:dyDescent="0.2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46020</v>
      </c>
      <c r="G74" s="16">
        <v>2.4500000000000002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2.4500000000000002</v>
      </c>
      <c r="R74" s="152">
        <f t="shared" si="1"/>
        <v>2.4500000000000002</v>
      </c>
      <c r="S74" s="152">
        <f t="shared" si="2"/>
        <v>2.4500000000000002</v>
      </c>
      <c r="T74" s="18">
        <f t="shared" si="3"/>
        <v>2.4500000000000002</v>
      </c>
    </row>
    <row r="75" spans="2:20" x14ac:dyDescent="0.25">
      <c r="B75" s="117" t="s">
        <v>132</v>
      </c>
      <c r="C75" s="136" t="s">
        <v>133</v>
      </c>
      <c r="D75" s="14" t="s">
        <v>15</v>
      </c>
      <c r="E75" s="14" t="s">
        <v>16</v>
      </c>
      <c r="F75" s="15">
        <v>46119</v>
      </c>
      <c r="G75" s="16">
        <v>0.33210000000000001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0.33210000000000001</v>
      </c>
      <c r="S75" s="152">
        <f t="shared" si="2"/>
        <v>0.33210000000000001</v>
      </c>
      <c r="T75" s="18">
        <f t="shared" si="3"/>
        <v>0.33210000000000001</v>
      </c>
    </row>
    <row r="76" spans="2:20" x14ac:dyDescent="0.25">
      <c r="B76" s="117" t="s">
        <v>608</v>
      </c>
      <c r="C76" s="136" t="s">
        <v>134</v>
      </c>
      <c r="D76" s="14" t="s">
        <v>24</v>
      </c>
      <c r="E76" s="14" t="s">
        <v>16</v>
      </c>
      <c r="F76" s="15"/>
      <c r="G76" s="16"/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0</v>
      </c>
      <c r="T76" s="18">
        <f t="shared" si="3"/>
        <v>0</v>
      </c>
    </row>
    <row r="77" spans="2:20" x14ac:dyDescent="0.25">
      <c r="B77" s="117" t="s">
        <v>135</v>
      </c>
      <c r="C77" s="136" t="s">
        <v>136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3"/>
        <v>0</v>
      </c>
    </row>
    <row r="78" spans="2:20" x14ac:dyDescent="0.2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0" si="4">IF(F78&lt;=Exp26Q1,G78,0)+IF(H78&lt;=Exp26Q1,I78,0)+IF(J78&lt;=Exp26Q1,K78,0)+IF(L78&lt;=Exp26Q1,M78,0)+IF(N78&lt;=Exp26Q1,O78,0)</f>
        <v>0</v>
      </c>
      <c r="R78" s="152">
        <f t="shared" ref="R78:R140" si="5">IF(F78&lt;=Exp26H1,G78,0)+IF(H78&lt;=Exp26H1,I78,0)+IF(J78&lt;=Exp26H1,K78,0)+IF(L78&lt;=Exp26H1,M78,0)+IF(N78&lt;=Exp26H1,O78,0)</f>
        <v>0</v>
      </c>
      <c r="S78" s="152">
        <f t="shared" ref="S78:S140" si="6">IF(F78&lt;=Exp26Q3,G78,0)+IF(H78&lt;=Exp26Q3,I78,0)+IF(J78&lt;=Exp26Q3,K78,0)+IF(L78&lt;=Exp26Q3,M78,0)+IF(N78&lt;=Exp26Q3,O78,0)</f>
        <v>0</v>
      </c>
      <c r="T78" s="18">
        <f t="shared" ref="T78:T142" si="7">G78+I78+K78+M78+O78</f>
        <v>0</v>
      </c>
    </row>
    <row r="79" spans="2:20" x14ac:dyDescent="0.25">
      <c r="B79" s="117" t="s">
        <v>139</v>
      </c>
      <c r="C79" s="136" t="s">
        <v>140</v>
      </c>
      <c r="D79" s="14" t="s">
        <v>15</v>
      </c>
      <c r="E79" s="14" t="s">
        <v>761</v>
      </c>
      <c r="F79" s="15">
        <v>46121</v>
      </c>
      <c r="G79" s="16">
        <v>3.67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3.67</v>
      </c>
      <c r="S79" s="152">
        <f t="shared" si="6"/>
        <v>3.67</v>
      </c>
      <c r="T79" s="18">
        <f t="shared" si="7"/>
        <v>3.67</v>
      </c>
    </row>
    <row r="80" spans="2:20" x14ac:dyDescent="0.25">
      <c r="B80" s="117" t="s">
        <v>151</v>
      </c>
      <c r="C80" s="136" t="s">
        <v>152</v>
      </c>
      <c r="D80" s="14" t="s">
        <v>15</v>
      </c>
      <c r="E80" s="14" t="s">
        <v>16</v>
      </c>
      <c r="F80" s="15">
        <v>46156</v>
      </c>
      <c r="G80" s="16">
        <v>1.2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1.2</v>
      </c>
      <c r="S80" s="152">
        <f t="shared" si="6"/>
        <v>1.2</v>
      </c>
      <c r="T80" s="18">
        <f t="shared" si="7"/>
        <v>1.2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46037</v>
      </c>
      <c r="G83" s="16">
        <f>0.433/1.1651*0.8668*100</f>
        <v>32.21392155179813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32.21392155179813</v>
      </c>
      <c r="R83" s="152">
        <f t="shared" si="5"/>
        <v>32.21392155179813</v>
      </c>
      <c r="S83" s="152">
        <f t="shared" si="6"/>
        <v>32.21392155179813</v>
      </c>
      <c r="T83" s="18">
        <f t="shared" si="7"/>
        <v>32.21392155179813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0</v>
      </c>
      <c r="R84" s="152">
        <f t="shared" si="5"/>
        <v>0</v>
      </c>
      <c r="S84" s="152">
        <f t="shared" si="6"/>
        <v>0</v>
      </c>
      <c r="T84" s="18">
        <f t="shared" si="7"/>
        <v>0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46149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4"/>
        <v>0</v>
      </c>
      <c r="R85" s="152">
        <f t="shared" si="5"/>
        <v>1.9</v>
      </c>
      <c r="S85" s="152">
        <f t="shared" si="6"/>
        <v>1.9</v>
      </c>
      <c r="T85" s="18">
        <f t="shared" si="7"/>
        <v>1.9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46146</v>
      </c>
      <c r="G86" s="16">
        <v>2.25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2.25</v>
      </c>
      <c r="S86" s="152">
        <f t="shared" si="6"/>
        <v>2.25</v>
      </c>
      <c r="T86" s="18">
        <f t="shared" si="7"/>
        <v>2.25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/>
      <c r="G87" s="16"/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</v>
      </c>
      <c r="S87" s="152">
        <f t="shared" si="6"/>
        <v>0</v>
      </c>
      <c r="T87" s="18">
        <f t="shared" si="7"/>
        <v>0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46069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0.13</v>
      </c>
      <c r="R88" s="152">
        <f t="shared" si="5"/>
        <v>0.13</v>
      </c>
      <c r="S88" s="152">
        <f t="shared" si="6"/>
        <v>0.13</v>
      </c>
      <c r="T88" s="18">
        <f t="shared" si="7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"/>
        <v>0</v>
      </c>
      <c r="R89" s="152">
        <f t="shared" si="5"/>
        <v>0</v>
      </c>
      <c r="S89" s="152">
        <f t="shared" si="6"/>
        <v>0</v>
      </c>
      <c r="T89" s="18">
        <f t="shared" si="7"/>
        <v>0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46156</v>
      </c>
      <c r="G90" s="16">
        <v>4.2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4.2</v>
      </c>
      <c r="S90" s="152">
        <f t="shared" si="6"/>
        <v>4.2</v>
      </c>
      <c r="T90" s="18">
        <f t="shared" si="7"/>
        <v>4.2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46155</v>
      </c>
      <c r="G91" s="16">
        <v>0.33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0.33</v>
      </c>
      <c r="S91" s="152">
        <f t="shared" si="6"/>
        <v>0.33</v>
      </c>
      <c r="T91" s="18">
        <f t="shared" si="7"/>
        <v>0.33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46148</v>
      </c>
      <c r="G92" s="16">
        <v>1.9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1.9</v>
      </c>
      <c r="S92" s="152">
        <f t="shared" si="6"/>
        <v>1.9</v>
      </c>
      <c r="T92" s="18">
        <f t="shared" si="7"/>
        <v>1.9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46114</v>
      </c>
      <c r="G93" s="16">
        <v>1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1</v>
      </c>
      <c r="S93" s="152">
        <f t="shared" si="6"/>
        <v>1</v>
      </c>
      <c r="T93" s="18">
        <f t="shared" si="7"/>
        <v>1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46128</v>
      </c>
      <c r="G94" s="16">
        <v>0.2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0.2</v>
      </c>
      <c r="S94" s="152">
        <f t="shared" si="6"/>
        <v>0.2</v>
      </c>
      <c r="T94" s="18">
        <f t="shared" si="7"/>
        <v>0.2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/>
      <c r="G95" s="16"/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0</v>
      </c>
      <c r="S95" s="152">
        <f t="shared" si="6"/>
        <v>0</v>
      </c>
      <c r="T95" s="18">
        <f t="shared" si="7"/>
        <v>0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46134</v>
      </c>
      <c r="G96" s="16">
        <v>18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18</v>
      </c>
      <c r="S96" s="152">
        <f t="shared" si="6"/>
        <v>18</v>
      </c>
      <c r="T96" s="18">
        <f t="shared" si="7"/>
        <v>18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46153</v>
      </c>
      <c r="G97" s="16">
        <f>0.86+1.64</f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2.5</v>
      </c>
      <c r="S97" s="152">
        <f t="shared" si="6"/>
        <v>2.5</v>
      </c>
      <c r="T97" s="18">
        <f t="shared" si="7"/>
        <v>2.5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46134</v>
      </c>
      <c r="G98" s="16">
        <v>0.56999999999999995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0.56999999999999995</v>
      </c>
      <c r="S98" s="152">
        <f t="shared" si="6"/>
        <v>0.56999999999999995</v>
      </c>
      <c r="T98" s="18">
        <f t="shared" si="7"/>
        <v>0.56999999999999995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46147</v>
      </c>
      <c r="G99" s="16">
        <v>0.20499999999999999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0.20499999999999999</v>
      </c>
      <c r="S99" s="152">
        <f t="shared" si="6"/>
        <v>0.20499999999999999</v>
      </c>
      <c r="T99" s="18">
        <f t="shared" si="7"/>
        <v>0.20499999999999999</v>
      </c>
    </row>
    <row r="100" spans="2:20" x14ac:dyDescent="0.25">
      <c r="B100" s="117" t="s">
        <v>972</v>
      </c>
      <c r="C100" s="136" t="s">
        <v>788</v>
      </c>
      <c r="D100" s="14" t="s">
        <v>237</v>
      </c>
      <c r="E100" s="14" t="s">
        <v>16</v>
      </c>
      <c r="F100" s="15">
        <v>46154</v>
      </c>
      <c r="G100" s="16">
        <v>0.124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0.124</v>
      </c>
      <c r="S100" s="152">
        <f t="shared" si="6"/>
        <v>0.124</v>
      </c>
      <c r="T100" s="18">
        <f t="shared" si="7"/>
        <v>0.124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0</v>
      </c>
      <c r="S102" s="152">
        <f t="shared" si="6"/>
        <v>0</v>
      </c>
      <c r="T102" s="18">
        <f t="shared" si="7"/>
        <v>0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>
        <v>46070</v>
      </c>
      <c r="G103" s="16">
        <v>0.04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0.04</v>
      </c>
      <c r="R103" s="152">
        <f t="shared" si="5"/>
        <v>0.04</v>
      </c>
      <c r="S103" s="152">
        <f t="shared" si="6"/>
        <v>0.04</v>
      </c>
      <c r="T103" s="18">
        <f t="shared" si="7"/>
        <v>0.04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46114</v>
      </c>
      <c r="G104" s="16">
        <v>0.6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4"/>
        <v>0</v>
      </c>
      <c r="R104" s="152">
        <f t="shared" si="5"/>
        <v>0.6</v>
      </c>
      <c r="S104" s="152">
        <f t="shared" si="6"/>
        <v>0.6</v>
      </c>
      <c r="T104" s="18">
        <f t="shared" si="7"/>
        <v>0.6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</v>
      </c>
      <c r="T105" s="18">
        <f t="shared" si="7"/>
        <v>0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46030</v>
      </c>
      <c r="G106" s="16">
        <v>0.5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"/>
        <v>0.5</v>
      </c>
      <c r="R106" s="152">
        <f t="shared" si="5"/>
        <v>0.5</v>
      </c>
      <c r="S106" s="152">
        <f t="shared" si="6"/>
        <v>0.5</v>
      </c>
      <c r="T106" s="18">
        <f t="shared" si="7"/>
        <v>0.5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46041</v>
      </c>
      <c r="G107" s="16">
        <v>0.23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0.23</v>
      </c>
      <c r="R107" s="152">
        <f t="shared" si="5"/>
        <v>0.23</v>
      </c>
      <c r="S107" s="152">
        <f t="shared" si="6"/>
        <v>0.23</v>
      </c>
      <c r="T107" s="18">
        <f t="shared" si="7"/>
        <v>0.23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46142</v>
      </c>
      <c r="G108" s="16">
        <v>1.35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</v>
      </c>
      <c r="R108" s="152">
        <f t="shared" si="5"/>
        <v>1.35</v>
      </c>
      <c r="S108" s="152">
        <f t="shared" si="6"/>
        <v>1.35</v>
      </c>
      <c r="T108" s="18">
        <f t="shared" si="7"/>
        <v>1.35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46104</v>
      </c>
      <c r="G109" s="16">
        <v>0.26</v>
      </c>
      <c r="H109" s="15">
        <v>46160</v>
      </c>
      <c r="I109" s="16">
        <v>0.27</v>
      </c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0.53</v>
      </c>
      <c r="S109" s="152">
        <f t="shared" si="6"/>
        <v>0.53</v>
      </c>
      <c r="T109" s="18">
        <f t="shared" si="7"/>
        <v>0.53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">
        <v>46069</v>
      </c>
      <c r="G110" s="16">
        <v>0.37</v>
      </c>
      <c r="H110" s="15">
        <v>46155</v>
      </c>
      <c r="I110" s="16">
        <v>0.39</v>
      </c>
      <c r="J110" s="15"/>
      <c r="K110" s="16"/>
      <c r="L110" s="15"/>
      <c r="M110" s="63"/>
      <c r="N110" s="17"/>
      <c r="O110" s="16"/>
      <c r="P110" s="16"/>
      <c r="Q110" s="152">
        <f t="shared" si="4"/>
        <v>0.37</v>
      </c>
      <c r="R110" s="152">
        <f t="shared" si="5"/>
        <v>0.76</v>
      </c>
      <c r="S110" s="152">
        <f t="shared" si="6"/>
        <v>0.76</v>
      </c>
      <c r="T110" s="18">
        <f t="shared" si="7"/>
        <v>0.76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46113</v>
      </c>
      <c r="G111" s="16">
        <v>1.5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</v>
      </c>
      <c r="R111" s="152">
        <f t="shared" si="5"/>
        <v>1.5</v>
      </c>
      <c r="S111" s="152">
        <f t="shared" si="6"/>
        <v>1.5</v>
      </c>
      <c r="T111" s="18">
        <f t="shared" si="7"/>
        <v>1.5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46134</v>
      </c>
      <c r="G112" s="16">
        <v>0.75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0.75</v>
      </c>
      <c r="S112" s="152">
        <f t="shared" si="6"/>
        <v>0.75</v>
      </c>
      <c r="T112" s="18">
        <f t="shared" si="7"/>
        <v>0.75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46147</v>
      </c>
      <c r="G113" s="16">
        <v>4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4</v>
      </c>
      <c r="S113" s="152">
        <f t="shared" si="6"/>
        <v>4</v>
      </c>
      <c r="T113" s="18">
        <f t="shared" si="7"/>
        <v>4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46108</v>
      </c>
      <c r="G114" s="16">
        <v>8.75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8.75</v>
      </c>
      <c r="S114" s="152">
        <f t="shared" si="6"/>
        <v>8.75</v>
      </c>
      <c r="T114" s="18">
        <f t="shared" si="7"/>
        <v>8.75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46140</v>
      </c>
      <c r="G115" s="16">
        <v>0.72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0.72</v>
      </c>
      <c r="S115" s="152">
        <f t="shared" si="6"/>
        <v>0.72</v>
      </c>
      <c r="T115" s="18">
        <f t="shared" si="7"/>
        <v>0.72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0</v>
      </c>
      <c r="S116" s="152">
        <f t="shared" si="6"/>
        <v>0</v>
      </c>
      <c r="T116" s="18">
        <f t="shared" si="7"/>
        <v>0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/>
      <c r="G119" s="16"/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</v>
      </c>
      <c r="S119" s="152">
        <f t="shared" si="6"/>
        <v>0</v>
      </c>
      <c r="T119" s="18">
        <f t="shared" si="7"/>
        <v>0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</v>
      </c>
      <c r="T120" s="18">
        <f t="shared" si="7"/>
        <v>0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46132</v>
      </c>
      <c r="G121" s="16">
        <v>3.6150000000000002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3.6150000000000002</v>
      </c>
      <c r="S121" s="152">
        <f t="shared" si="6"/>
        <v>3.6150000000000002</v>
      </c>
      <c r="T121" s="18">
        <f t="shared" si="7"/>
        <v>3.6150000000000002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46160</v>
      </c>
      <c r="G122" s="16">
        <v>0.55779999999999996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0.55779999999999996</v>
      </c>
      <c r="S122" s="152">
        <f t="shared" si="6"/>
        <v>0.55779999999999996</v>
      </c>
      <c r="T122" s="18">
        <f t="shared" si="7"/>
        <v>0.55779999999999996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5">
        <v>46113</v>
      </c>
      <c r="G124" s="16">
        <v>0.74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0.74</v>
      </c>
      <c r="S124" s="152">
        <f t="shared" si="6"/>
        <v>0.74</v>
      </c>
      <c r="T124" s="18">
        <f t="shared" si="7"/>
        <v>0.74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/>
      <c r="G125" s="16"/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4"/>
        <v>0</v>
      </c>
      <c r="R125" s="152">
        <f t="shared" si="5"/>
        <v>0</v>
      </c>
      <c r="S125" s="152">
        <f t="shared" si="6"/>
        <v>0</v>
      </c>
      <c r="T125" s="18">
        <f t="shared" si="7"/>
        <v>0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/>
      <c r="G126" s="16"/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4"/>
        <v>0</v>
      </c>
      <c r="R126" s="152">
        <f t="shared" si="5"/>
        <v>0</v>
      </c>
      <c r="S126" s="152">
        <f t="shared" si="6"/>
        <v>0</v>
      </c>
      <c r="T126" s="18">
        <f t="shared" si="7"/>
        <v>0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46093</v>
      </c>
      <c r="G127" s="16">
        <v>1.03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4"/>
        <v>1.03</v>
      </c>
      <c r="R127" s="152">
        <f t="shared" si="5"/>
        <v>1.03</v>
      </c>
      <c r="S127" s="152">
        <f t="shared" si="6"/>
        <v>1.03</v>
      </c>
      <c r="T127" s="18">
        <f t="shared" si="7"/>
        <v>1.03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46139</v>
      </c>
      <c r="G128" s="16">
        <v>0.15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0.15</v>
      </c>
      <c r="S128" s="152">
        <f t="shared" si="6"/>
        <v>0.15</v>
      </c>
      <c r="T128" s="18">
        <f t="shared" si="7"/>
        <v>0.15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46161</v>
      </c>
      <c r="G129" s="16">
        <v>0.33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4"/>
        <v>0</v>
      </c>
      <c r="R129" s="152">
        <f t="shared" si="5"/>
        <v>0.33</v>
      </c>
      <c r="S129" s="152">
        <f t="shared" si="6"/>
        <v>0.33</v>
      </c>
      <c r="T129" s="18">
        <f t="shared" si="7"/>
        <v>0.33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46129</v>
      </c>
      <c r="G130" s="16">
        <v>12.9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12.9</v>
      </c>
      <c r="S130" s="152">
        <f t="shared" si="6"/>
        <v>12.9</v>
      </c>
      <c r="T130" s="18">
        <f t="shared" si="7"/>
        <v>12.9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46160</v>
      </c>
      <c r="G131" s="16">
        <v>1.64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1.64</v>
      </c>
      <c r="S131" s="152">
        <f t="shared" si="6"/>
        <v>1.64</v>
      </c>
      <c r="T131" s="18">
        <f t="shared" si="7"/>
        <v>1.64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46134</v>
      </c>
      <c r="G132" s="16">
        <v>4.75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4.75</v>
      </c>
      <c r="S132" s="152">
        <f t="shared" si="6"/>
        <v>4.75</v>
      </c>
      <c r="T132" s="18">
        <f t="shared" si="7"/>
        <v>4.75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46104</v>
      </c>
      <c r="G133" s="16">
        <v>72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72</v>
      </c>
      <c r="S133" s="152">
        <f t="shared" si="6"/>
        <v>72</v>
      </c>
      <c r="T133" s="18">
        <f t="shared" si="7"/>
        <v>72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53">
        <v>46108</v>
      </c>
      <c r="G134" s="154">
        <f>10*0.98179612</f>
        <v>9.8179612000000009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9.8179612000000009</v>
      </c>
      <c r="S134" s="152">
        <f t="shared" si="6"/>
        <v>9.8179612000000009</v>
      </c>
      <c r="T134" s="18">
        <f t="shared" si="7"/>
        <v>9.8179612000000009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46148</v>
      </c>
      <c r="G135" s="16">
        <f>0.05*0.999955</f>
        <v>4.9997750000000007E-2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4.9997750000000007E-2</v>
      </c>
      <c r="S135" s="152">
        <f t="shared" si="6"/>
        <v>4.9997750000000007E-2</v>
      </c>
      <c r="T135" s="18">
        <f t="shared" si="7"/>
        <v>4.9997750000000007E-2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46156</v>
      </c>
      <c r="G136" s="16">
        <v>5.125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5.125</v>
      </c>
      <c r="S136" s="152">
        <f t="shared" si="6"/>
        <v>5.125</v>
      </c>
      <c r="T136" s="18">
        <f t="shared" si="7"/>
        <v>5.125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46072</v>
      </c>
      <c r="G137" s="16">
        <v>8.32</v>
      </c>
      <c r="H137" s="15">
        <v>46156</v>
      </c>
      <c r="I137" s="16">
        <v>17</v>
      </c>
      <c r="J137" s="15"/>
      <c r="K137" s="16"/>
      <c r="L137" s="15"/>
      <c r="M137" s="63"/>
      <c r="N137" s="17"/>
      <c r="O137" s="16"/>
      <c r="P137" s="16"/>
      <c r="Q137" s="152">
        <f t="shared" si="4"/>
        <v>8.32</v>
      </c>
      <c r="R137" s="152">
        <f t="shared" si="5"/>
        <v>25.32</v>
      </c>
      <c r="S137" s="152">
        <f t="shared" si="6"/>
        <v>25.32</v>
      </c>
      <c r="T137" s="18">
        <f t="shared" si="7"/>
        <v>25.32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46156</v>
      </c>
      <c r="G138" s="16">
        <v>3.6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0</v>
      </c>
      <c r="R138" s="152">
        <f t="shared" si="5"/>
        <v>3.6</v>
      </c>
      <c r="S138" s="152">
        <f t="shared" si="6"/>
        <v>3.6</v>
      </c>
      <c r="T138" s="18">
        <f t="shared" si="7"/>
        <v>3.6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46139</v>
      </c>
      <c r="G139" s="16">
        <v>1.1599999999999999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1.1599999999999999</v>
      </c>
      <c r="S139" s="152">
        <f t="shared" si="6"/>
        <v>1.1599999999999999</v>
      </c>
      <c r="T139" s="18">
        <f t="shared" si="7"/>
        <v>1.1599999999999999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46140</v>
      </c>
      <c r="G140" s="16">
        <v>2.0699999999999998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2.0699999999999998</v>
      </c>
      <c r="S140" s="152">
        <f t="shared" si="6"/>
        <v>2.0699999999999998</v>
      </c>
      <c r="T140" s="18">
        <f t="shared" si="7"/>
        <v>2.0699999999999998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46148</v>
      </c>
      <c r="G141" s="16">
        <v>3.55</v>
      </c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ref="Q141:Q203" si="8">IF(F141&lt;=Exp26Q1,G141,0)+IF(H141&lt;=Exp26Q1,I141,0)+IF(J141&lt;=Exp26Q1,K141,0)+IF(L141&lt;=Exp26Q1,M141,0)+IF(N141&lt;=Exp26Q1,O141,0)</f>
        <v>0</v>
      </c>
      <c r="R141" s="152">
        <f t="shared" ref="R141:R203" si="9">IF(F141&lt;=Exp26H1,G141,0)+IF(H141&lt;=Exp26H1,I141,0)+IF(J141&lt;=Exp26H1,K141,0)+IF(L141&lt;=Exp26H1,M141,0)+IF(N141&lt;=Exp26H1,O141,0)</f>
        <v>3.55</v>
      </c>
      <c r="S141" s="152">
        <f t="shared" ref="S141:S203" si="10">IF(F141&lt;=Exp26Q3,G141,0)+IF(H141&lt;=Exp26Q3,I141,0)+IF(J141&lt;=Exp26Q3,K141,0)+IF(L141&lt;=Exp26Q3,M141,0)+IF(N141&lt;=Exp26Q3,O141,0)</f>
        <v>3.55</v>
      </c>
      <c r="T141" s="18">
        <f t="shared" si="7"/>
        <v>3.55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5">
        <v>46069</v>
      </c>
      <c r="G142" s="16">
        <v>5</v>
      </c>
      <c r="H142" s="15">
        <v>46133</v>
      </c>
      <c r="I142" s="16">
        <v>13</v>
      </c>
      <c r="J142" s="15"/>
      <c r="K142" s="16"/>
      <c r="L142" s="15"/>
      <c r="M142" s="63"/>
      <c r="N142" s="17"/>
      <c r="O142" s="16"/>
      <c r="P142" s="16"/>
      <c r="Q142" s="152">
        <f t="shared" si="8"/>
        <v>5</v>
      </c>
      <c r="R142" s="152">
        <f t="shared" si="9"/>
        <v>18</v>
      </c>
      <c r="S142" s="152">
        <f t="shared" si="10"/>
        <v>18</v>
      </c>
      <c r="T142" s="18">
        <f t="shared" si="7"/>
        <v>18</v>
      </c>
    </row>
    <row r="143" spans="2:20" x14ac:dyDescent="0.2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46093</v>
      </c>
      <c r="G143" s="16">
        <v>0.45</v>
      </c>
      <c r="H143" s="15">
        <v>46156</v>
      </c>
      <c r="I143" s="16">
        <v>0.1</v>
      </c>
      <c r="J143" s="15"/>
      <c r="K143" s="16"/>
      <c r="L143" s="15"/>
      <c r="M143" s="63"/>
      <c r="N143" s="17"/>
      <c r="O143" s="16"/>
      <c r="P143" s="16"/>
      <c r="Q143" s="152">
        <f t="shared" si="8"/>
        <v>0.45</v>
      </c>
      <c r="R143" s="152">
        <f t="shared" si="9"/>
        <v>0.55000000000000004</v>
      </c>
      <c r="S143" s="152">
        <f t="shared" si="10"/>
        <v>0.55000000000000004</v>
      </c>
      <c r="T143" s="18">
        <f t="shared" ref="T143:T205" si="11">G143+I143+K143+M143+O143</f>
        <v>0.55000000000000004</v>
      </c>
    </row>
    <row r="144" spans="2:20" x14ac:dyDescent="0.25">
      <c r="B144" s="117" t="s">
        <v>268</v>
      </c>
      <c r="C144" s="136" t="s">
        <v>269</v>
      </c>
      <c r="D144" s="14" t="s">
        <v>15</v>
      </c>
      <c r="E144" s="14" t="s">
        <v>761</v>
      </c>
      <c r="F144" s="15">
        <v>46072</v>
      </c>
      <c r="G144" s="16">
        <v>40.08</v>
      </c>
      <c r="H144" s="15">
        <v>46163</v>
      </c>
      <c r="I144" s="16">
        <v>41.68</v>
      </c>
      <c r="J144" s="15"/>
      <c r="K144" s="16"/>
      <c r="L144" s="15"/>
      <c r="M144" s="63"/>
      <c r="N144" s="17"/>
      <c r="O144" s="16"/>
      <c r="P144" s="16"/>
      <c r="Q144" s="152">
        <f t="shared" si="8"/>
        <v>40.08</v>
      </c>
      <c r="R144" s="152">
        <f t="shared" si="9"/>
        <v>81.759999999999991</v>
      </c>
      <c r="S144" s="152">
        <f t="shared" si="10"/>
        <v>81.759999999999991</v>
      </c>
      <c r="T144" s="18">
        <f t="shared" si="11"/>
        <v>81.759999999999991</v>
      </c>
    </row>
    <row r="145" spans="2:20" x14ac:dyDescent="0.25">
      <c r="B145" s="117" t="s">
        <v>270</v>
      </c>
      <c r="C145" s="136" t="s">
        <v>271</v>
      </c>
      <c r="D145" s="14" t="s">
        <v>15</v>
      </c>
      <c r="E145" s="14" t="s">
        <v>16</v>
      </c>
      <c r="F145" s="15">
        <v>46141</v>
      </c>
      <c r="G145" s="16">
        <v>0.875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0</v>
      </c>
      <c r="R145" s="152">
        <f t="shared" si="9"/>
        <v>0.875</v>
      </c>
      <c r="S145" s="152">
        <f t="shared" si="10"/>
        <v>0.875</v>
      </c>
      <c r="T145" s="18">
        <f t="shared" si="11"/>
        <v>0.875</v>
      </c>
    </row>
    <row r="146" spans="2:20" x14ac:dyDescent="0.25">
      <c r="B146" s="117" t="s">
        <v>871</v>
      </c>
      <c r="C146" s="136" t="s">
        <v>872</v>
      </c>
      <c r="D146" s="14" t="s">
        <v>15</v>
      </c>
      <c r="E146" s="14" t="s">
        <v>16</v>
      </c>
      <c r="F146" s="15">
        <v>46072</v>
      </c>
      <c r="G146" s="16">
        <v>0.35</v>
      </c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0.35</v>
      </c>
      <c r="R146" s="152">
        <f t="shared" si="9"/>
        <v>0.35</v>
      </c>
      <c r="S146" s="152">
        <f t="shared" si="10"/>
        <v>0.35</v>
      </c>
      <c r="T146" s="18">
        <f t="shared" si="11"/>
        <v>0.35</v>
      </c>
    </row>
    <row r="147" spans="2:20" x14ac:dyDescent="0.25">
      <c r="B147" s="117" t="s">
        <v>273</v>
      </c>
      <c r="C147" s="136" t="s">
        <v>274</v>
      </c>
      <c r="D147" s="14" t="s">
        <v>15</v>
      </c>
      <c r="E147" s="14" t="s">
        <v>16</v>
      </c>
      <c r="F147" s="15">
        <v>46128</v>
      </c>
      <c r="G147" s="16">
        <v>0.73599999999999999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</v>
      </c>
      <c r="R147" s="152">
        <f t="shared" si="9"/>
        <v>0.73599999999999999</v>
      </c>
      <c r="S147" s="152">
        <f t="shared" si="10"/>
        <v>0.73599999999999999</v>
      </c>
      <c r="T147" s="18">
        <f t="shared" si="11"/>
        <v>0.73599999999999999</v>
      </c>
    </row>
    <row r="148" spans="2:20" x14ac:dyDescent="0.25">
      <c r="B148" s="117" t="s">
        <v>948</v>
      </c>
      <c r="C148" s="136" t="s">
        <v>949</v>
      </c>
      <c r="D148" s="14" t="s">
        <v>941</v>
      </c>
      <c r="E148" s="14" t="s">
        <v>16</v>
      </c>
      <c r="F148" s="15">
        <v>46160</v>
      </c>
      <c r="G148" s="16">
        <v>0.19</v>
      </c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</v>
      </c>
      <c r="R148" s="152">
        <f t="shared" si="9"/>
        <v>0.19</v>
      </c>
      <c r="S148" s="152">
        <f t="shared" si="10"/>
        <v>0.19</v>
      </c>
      <c r="T148" s="18">
        <f t="shared" si="11"/>
        <v>0.19</v>
      </c>
    </row>
    <row r="149" spans="2:20" x14ac:dyDescent="0.2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46150</v>
      </c>
      <c r="G149" s="16">
        <v>4</v>
      </c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4</v>
      </c>
      <c r="S149" s="152">
        <f t="shared" si="10"/>
        <v>4</v>
      </c>
      <c r="T149" s="18">
        <f t="shared" si="11"/>
        <v>4</v>
      </c>
    </row>
    <row r="150" spans="2:20" x14ac:dyDescent="0.25">
      <c r="B150" s="117" t="s">
        <v>278</v>
      </c>
      <c r="C150" s="136" t="s">
        <v>971</v>
      </c>
      <c r="D150" s="14" t="s">
        <v>941</v>
      </c>
      <c r="E150" s="14" t="s">
        <v>16</v>
      </c>
      <c r="F150" s="15">
        <v>46160</v>
      </c>
      <c r="G150" s="16">
        <v>0.432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ref="Q150" si="12">IF(F150&lt;=Exp26Q1,G150,0)+IF(H150&lt;=Exp26Q1,I150,0)+IF(J150&lt;=Exp26Q1,K150,0)+IF(L150&lt;=Exp26Q1,M150,0)+IF(N150&lt;=Exp26Q1,O150,0)</f>
        <v>0</v>
      </c>
      <c r="R150" s="152">
        <f t="shared" ref="R150" si="13">IF(F150&lt;=Exp26H1,G150,0)+IF(H150&lt;=Exp26H1,I150,0)+IF(J150&lt;=Exp26H1,K150,0)+IF(L150&lt;=Exp26H1,M150,0)+IF(N150&lt;=Exp26H1,O150,0)</f>
        <v>0.432</v>
      </c>
      <c r="S150" s="152">
        <f t="shared" ref="S150" si="14">IF(F150&lt;=Exp26Q3,G150,0)+IF(H150&lt;=Exp26Q3,I150,0)+IF(J150&lt;=Exp26Q3,K150,0)+IF(L150&lt;=Exp26Q3,M150,0)+IF(N150&lt;=Exp26Q3,O150,0)</f>
        <v>0.432</v>
      </c>
      <c r="T150" s="18">
        <f t="shared" ref="T150" si="15">G150+I150+K150+M150+O150</f>
        <v>0.432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46150</v>
      </c>
      <c r="G151" s="16">
        <v>0.65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8"/>
        <v>0</v>
      </c>
      <c r="R151" s="152">
        <f t="shared" si="9"/>
        <v>0.65</v>
      </c>
      <c r="S151" s="152">
        <f t="shared" si="10"/>
        <v>0.65</v>
      </c>
      <c r="T151" s="18">
        <f t="shared" si="11"/>
        <v>0.65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46125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2.6</v>
      </c>
      <c r="S152" s="152">
        <f t="shared" si="10"/>
        <v>2.6</v>
      </c>
      <c r="T152" s="18">
        <f t="shared" si="11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46155</v>
      </c>
      <c r="G153" s="16">
        <v>7.0000000000000007E-2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7.0000000000000007E-2</v>
      </c>
      <c r="S153" s="152">
        <f t="shared" si="10"/>
        <v>7.0000000000000007E-2</v>
      </c>
      <c r="T153" s="18">
        <f t="shared" si="11"/>
        <v>7.0000000000000007E-2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46160</v>
      </c>
      <c r="G154" s="16">
        <v>4.0999999999999996</v>
      </c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4.0999999999999996</v>
      </c>
      <c r="S154" s="152">
        <f t="shared" si="10"/>
        <v>4.0999999999999996</v>
      </c>
      <c r="T154" s="18">
        <f t="shared" si="11"/>
        <v>4.0999999999999996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46035</v>
      </c>
      <c r="G155" s="16">
        <v>1.25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8"/>
        <v>1.25</v>
      </c>
      <c r="R155" s="152">
        <f t="shared" si="9"/>
        <v>1.25</v>
      </c>
      <c r="S155" s="152">
        <f t="shared" si="10"/>
        <v>1.25</v>
      </c>
      <c r="T155" s="18">
        <f t="shared" si="11"/>
        <v>1.25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46034</v>
      </c>
      <c r="G156" s="16">
        <v>0.22</v>
      </c>
      <c r="H156" s="15">
        <v>46108</v>
      </c>
      <c r="I156" s="16">
        <v>0.23</v>
      </c>
      <c r="J156" s="15"/>
      <c r="K156" s="16"/>
      <c r="L156" s="15"/>
      <c r="M156" s="63"/>
      <c r="N156" s="17"/>
      <c r="O156" s="16"/>
      <c r="P156" s="16"/>
      <c r="Q156" s="152">
        <f t="shared" si="8"/>
        <v>0.22</v>
      </c>
      <c r="R156" s="152">
        <f t="shared" si="9"/>
        <v>0.45</v>
      </c>
      <c r="S156" s="152">
        <f t="shared" si="10"/>
        <v>0.45</v>
      </c>
      <c r="T156" s="18">
        <f t="shared" si="11"/>
        <v>0.45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8"/>
        <v>0</v>
      </c>
      <c r="R157" s="152">
        <f t="shared" si="9"/>
        <v>0</v>
      </c>
      <c r="S157" s="152">
        <f t="shared" si="10"/>
        <v>0</v>
      </c>
      <c r="T157" s="18">
        <f t="shared" si="11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46090</v>
      </c>
      <c r="G158" s="16">
        <v>0.95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8"/>
        <v>0.95</v>
      </c>
      <c r="R158" s="152">
        <f t="shared" si="9"/>
        <v>0.95</v>
      </c>
      <c r="S158" s="152">
        <f t="shared" si="10"/>
        <v>0.95</v>
      </c>
      <c r="T158" s="18">
        <f t="shared" si="11"/>
        <v>0.95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46087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1.8</v>
      </c>
      <c r="R159" s="152">
        <f t="shared" si="9"/>
        <v>1.8</v>
      </c>
      <c r="S159" s="152">
        <f t="shared" si="10"/>
        <v>1.8</v>
      </c>
      <c r="T159" s="18">
        <f t="shared" si="11"/>
        <v>1.8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46129</v>
      </c>
      <c r="G160" s="16">
        <v>0.109</v>
      </c>
      <c r="H160" s="15"/>
      <c r="I160" s="16"/>
      <c r="J160" s="15"/>
      <c r="K160" s="16"/>
      <c r="L160" s="15"/>
      <c r="M160" s="63"/>
      <c r="N160" s="17"/>
      <c r="O160" s="16"/>
      <c r="P160" s="47"/>
      <c r="Q160" s="152">
        <f t="shared" si="8"/>
        <v>0</v>
      </c>
      <c r="R160" s="152">
        <f t="shared" si="9"/>
        <v>0.109</v>
      </c>
      <c r="S160" s="152">
        <f t="shared" si="10"/>
        <v>0.109</v>
      </c>
      <c r="T160" s="18">
        <f t="shared" si="11"/>
        <v>0.109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46135</v>
      </c>
      <c r="G161" s="16">
        <v>15.67</v>
      </c>
      <c r="H161" s="15"/>
      <c r="I161" s="16"/>
      <c r="J161" s="15"/>
      <c r="K161" s="16"/>
      <c r="L161" s="15"/>
      <c r="M161" s="63"/>
      <c r="N161" s="17"/>
      <c r="O161" s="16"/>
      <c r="P161" s="16"/>
      <c r="Q161" s="152">
        <f t="shared" si="8"/>
        <v>0</v>
      </c>
      <c r="R161" s="152">
        <f t="shared" si="9"/>
        <v>15.67</v>
      </c>
      <c r="S161" s="152">
        <f t="shared" si="10"/>
        <v>15.67</v>
      </c>
      <c r="T161" s="18">
        <f t="shared" si="11"/>
        <v>15.67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/>
      <c r="G162" s="16"/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0</v>
      </c>
      <c r="S162" s="152">
        <f t="shared" si="10"/>
        <v>0</v>
      </c>
      <c r="T162" s="18">
        <f t="shared" si="11"/>
        <v>0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46121</v>
      </c>
      <c r="G163" s="16">
        <v>2.4300000000000002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2.4300000000000002</v>
      </c>
      <c r="S163" s="152">
        <f t="shared" si="10"/>
        <v>2.4300000000000002</v>
      </c>
      <c r="T163" s="18">
        <f t="shared" si="11"/>
        <v>2.4300000000000002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/>
      <c r="G164" s="16"/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0</v>
      </c>
      <c r="S164" s="152">
        <f t="shared" si="10"/>
        <v>0</v>
      </c>
      <c r="T164" s="18">
        <f t="shared" si="11"/>
        <v>0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46154</v>
      </c>
      <c r="G165" s="16">
        <v>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5</v>
      </c>
      <c r="S165" s="152">
        <f t="shared" si="10"/>
        <v>5</v>
      </c>
      <c r="T165" s="18">
        <f t="shared" si="11"/>
        <v>5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46141</v>
      </c>
      <c r="G166" s="16">
        <v>7.2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7.2</v>
      </c>
      <c r="S166" s="152">
        <f t="shared" si="10"/>
        <v>7.2</v>
      </c>
      <c r="T166" s="18">
        <f t="shared" si="11"/>
        <v>7.2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46140</v>
      </c>
      <c r="G167" s="16">
        <v>7.5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7.5</v>
      </c>
      <c r="S167" s="152">
        <f t="shared" si="10"/>
        <v>7.5</v>
      </c>
      <c r="T167" s="18">
        <f t="shared" si="11"/>
        <v>7.5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46086</v>
      </c>
      <c r="G168" s="16">
        <v>1.5E-3</v>
      </c>
      <c r="H168" s="15"/>
      <c r="I168" s="16"/>
      <c r="J168" s="15"/>
      <c r="K168" s="16"/>
      <c r="L168" s="15"/>
      <c r="M168" s="63"/>
      <c r="N168" s="17"/>
      <c r="O168" s="16"/>
      <c r="P168" s="16"/>
      <c r="Q168" s="152">
        <f t="shared" si="8"/>
        <v>1.5E-3</v>
      </c>
      <c r="R168" s="152">
        <f t="shared" si="9"/>
        <v>1.5E-3</v>
      </c>
      <c r="S168" s="152">
        <f t="shared" si="10"/>
        <v>1.5E-3</v>
      </c>
      <c r="T168" s="18">
        <f t="shared" si="11"/>
        <v>1.5E-3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46129</v>
      </c>
      <c r="G169" s="16">
        <v>3.5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0</v>
      </c>
      <c r="R169" s="152">
        <f t="shared" si="9"/>
        <v>3.5</v>
      </c>
      <c r="S169" s="152">
        <f t="shared" si="10"/>
        <v>3.5</v>
      </c>
      <c r="T169" s="18">
        <f t="shared" si="11"/>
        <v>3.5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46139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2.2000000000000002</v>
      </c>
      <c r="S170" s="152">
        <f t="shared" si="10"/>
        <v>2.2000000000000002</v>
      </c>
      <c r="T170" s="18">
        <f t="shared" si="11"/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46135</v>
      </c>
      <c r="G171" s="16">
        <v>0.2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0.2</v>
      </c>
      <c r="S171" s="152">
        <f t="shared" si="10"/>
        <v>0.2</v>
      </c>
      <c r="T171" s="18">
        <f t="shared" si="11"/>
        <v>0.2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/>
      <c r="G172" s="16"/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0</v>
      </c>
      <c r="S172" s="152">
        <f t="shared" si="10"/>
        <v>0</v>
      </c>
      <c r="T172" s="18">
        <f t="shared" si="11"/>
        <v>0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46072</v>
      </c>
      <c r="G173" s="16">
        <v>1.5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8"/>
        <v>1.5</v>
      </c>
      <c r="R173" s="152">
        <f t="shared" si="9"/>
        <v>1.5</v>
      </c>
      <c r="S173" s="152">
        <f t="shared" si="10"/>
        <v>1.5</v>
      </c>
      <c r="T173" s="18">
        <f t="shared" si="11"/>
        <v>1.5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46142</v>
      </c>
      <c r="G174" s="16">
        <v>24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0</v>
      </c>
      <c r="R174" s="152">
        <f t="shared" si="9"/>
        <v>24</v>
      </c>
      <c r="S174" s="152">
        <f t="shared" si="10"/>
        <v>24</v>
      </c>
      <c r="T174" s="18">
        <f t="shared" si="11"/>
        <v>24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/>
      <c r="G175" s="16"/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0</v>
      </c>
      <c r="S175" s="152">
        <f t="shared" si="10"/>
        <v>0</v>
      </c>
      <c r="T175" s="18">
        <f t="shared" si="11"/>
        <v>0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46108</v>
      </c>
      <c r="G176" s="16">
        <v>0.56999999999999995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0.56999999999999995</v>
      </c>
      <c r="S176" s="152">
        <f t="shared" si="10"/>
        <v>0.56999999999999995</v>
      </c>
      <c r="T176" s="18">
        <f t="shared" si="11"/>
        <v>0.56999999999999995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46107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>IF(F177&lt;=Exp26Q1,G177,0)+IF(H177&lt;=Exp26Q1,I177,0)+IF(J177&lt;=Exp26Q1,K177,0)+IF(L177&lt;=Exp26Q1,M177,0)+IF(N177&lt;=Exp26Q1,O177,0)</f>
        <v>0</v>
      </c>
      <c r="R177" s="152">
        <f>IF(F177&lt;=Exp26H1,G177,0)+IF(H177&lt;=Exp26H1,I177,0)+IF(J177&lt;=Exp26H1,K177,0)+IF(L177&lt;=Exp26H1,M177,0)+IF(N177&lt;=Exp26H1,O177,0)</f>
        <v>0.2</v>
      </c>
      <c r="S177" s="152">
        <f>IF(F177&lt;=Exp26Q3,G177,0)+IF(H177&lt;=Exp26Q3,I177,0)+IF(J177&lt;=Exp26Q3,K177,0)+IF(L177&lt;=Exp26Q3,M177,0)+IF(N177&lt;=Exp26Q3,O177,0)</f>
        <v>0.2</v>
      </c>
      <c r="T177" s="18">
        <f>G177+I177+K177+M177+O177</f>
        <v>0.2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46132</v>
      </c>
      <c r="G178" s="16">
        <v>3.1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8"/>
        <v>0</v>
      </c>
      <c r="R178" s="152">
        <f t="shared" si="9"/>
        <v>3.1</v>
      </c>
      <c r="S178" s="152">
        <f t="shared" si="10"/>
        <v>3.1</v>
      </c>
      <c r="T178" s="18">
        <f t="shared" si="11"/>
        <v>3.1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0</v>
      </c>
      <c r="S179" s="152">
        <f t="shared" si="10"/>
        <v>0</v>
      </c>
      <c r="T179" s="18">
        <f t="shared" si="11"/>
        <v>0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0</v>
      </c>
      <c r="S180" s="152">
        <f t="shared" si="10"/>
        <v>0</v>
      </c>
      <c r="T180" s="18">
        <f t="shared" si="11"/>
        <v>0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46055</v>
      </c>
      <c r="G181" s="16">
        <v>0.03</v>
      </c>
      <c r="H181" s="15">
        <v>46139</v>
      </c>
      <c r="I181" s="16">
        <v>0.04</v>
      </c>
      <c r="J181" s="15"/>
      <c r="K181" s="16"/>
      <c r="L181" s="15"/>
      <c r="M181" s="63"/>
      <c r="N181" s="17"/>
      <c r="O181" s="16"/>
      <c r="P181" s="47"/>
      <c r="Q181" s="152">
        <f t="shared" si="8"/>
        <v>0.03</v>
      </c>
      <c r="R181" s="152">
        <f t="shared" si="9"/>
        <v>7.0000000000000007E-2</v>
      </c>
      <c r="S181" s="152">
        <f t="shared" si="10"/>
        <v>7.0000000000000007E-2</v>
      </c>
      <c r="T181" s="18">
        <f t="shared" si="11"/>
        <v>7.0000000000000007E-2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46107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>IF(F182&lt;=Exp26Q1,G182,0)+IF(H182&lt;=Exp26Q1,I182,0)+IF(J182&lt;=Exp26Q1,K182,0)+IF(L182&lt;=Exp26Q1,M182,0)+IF(N182&lt;=Exp26Q1,O182,0)</f>
        <v>0</v>
      </c>
      <c r="R182" s="152">
        <f>IF(F182&lt;=Exp26H1,G182,0)+IF(H182&lt;=Exp26H1,I182,0)+IF(J182&lt;=Exp26H1,K182,0)+IF(L182&lt;=Exp26H1,M182,0)+IF(N182&lt;=Exp26H1,O182,0)</f>
        <v>0.25</v>
      </c>
      <c r="S182" s="152">
        <f>IF(F182&lt;=Exp26Q3,G182,0)+IF(H182&lt;=Exp26Q3,I182,0)+IF(J182&lt;=Exp26Q3,K182,0)+IF(L182&lt;=Exp26Q3,M182,0)+IF(N182&lt;=Exp26Q3,O182,0)</f>
        <v>0.25</v>
      </c>
      <c r="T182" s="18">
        <f>G182+I182+K182+M182+O182</f>
        <v>0.25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46106</v>
      </c>
      <c r="G183" s="16">
        <v>0.96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8"/>
        <v>0</v>
      </c>
      <c r="R183" s="152">
        <f t="shared" si="9"/>
        <v>0.96</v>
      </c>
      <c r="S183" s="152">
        <f t="shared" si="10"/>
        <v>0.96</v>
      </c>
      <c r="T183" s="18">
        <f t="shared" si="11"/>
        <v>0.96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46150</v>
      </c>
      <c r="G184" s="16">
        <v>3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3</v>
      </c>
      <c r="S184" s="152">
        <f t="shared" si="10"/>
        <v>3</v>
      </c>
      <c r="T184" s="18">
        <f t="shared" si="11"/>
        <v>3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46091</v>
      </c>
      <c r="G185" s="16">
        <v>3.7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8"/>
        <v>3.7</v>
      </c>
      <c r="R185" s="152">
        <f t="shared" si="9"/>
        <v>3.7</v>
      </c>
      <c r="S185" s="152">
        <f t="shared" si="10"/>
        <v>3.7</v>
      </c>
      <c r="T185" s="18">
        <f t="shared" si="11"/>
        <v>3.7</v>
      </c>
    </row>
    <row r="186" spans="2:20" x14ac:dyDescent="0.25">
      <c r="B186" s="117" t="s">
        <v>353</v>
      </c>
      <c r="C186" s="136" t="s">
        <v>354</v>
      </c>
      <c r="D186" s="14" t="s">
        <v>24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0</v>
      </c>
      <c r="R186" s="152">
        <f t="shared" si="9"/>
        <v>0</v>
      </c>
      <c r="S186" s="152">
        <f t="shared" si="10"/>
        <v>0</v>
      </c>
      <c r="T186" s="18">
        <f t="shared" si="11"/>
        <v>0</v>
      </c>
    </row>
    <row r="187" spans="2:20" x14ac:dyDescent="0.25">
      <c r="B187" s="117" t="s">
        <v>918</v>
      </c>
      <c r="C187" s="136" t="s">
        <v>352</v>
      </c>
      <c r="D187" s="14" t="s">
        <v>755</v>
      </c>
      <c r="E187" s="14" t="s">
        <v>475</v>
      </c>
      <c r="F187" s="147">
        <v>46136</v>
      </c>
      <c r="G187" s="148">
        <f>4*0.98266898</f>
        <v>3.9306759200000001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3.9306759200000001</v>
      </c>
      <c r="S187" s="152">
        <f t="shared" si="10"/>
        <v>3.9306759200000001</v>
      </c>
      <c r="T187" s="18">
        <f t="shared" si="11"/>
        <v>3.9306759200000001</v>
      </c>
    </row>
    <row r="188" spans="2:20" x14ac:dyDescent="0.25">
      <c r="B188" s="117" t="s">
        <v>881</v>
      </c>
      <c r="C188" s="136" t="s">
        <v>882</v>
      </c>
      <c r="D188" s="14" t="s">
        <v>15</v>
      </c>
      <c r="E188" s="14" t="s">
        <v>21</v>
      </c>
      <c r="F188" s="15"/>
      <c r="G188" s="16"/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0</v>
      </c>
      <c r="S188" s="152">
        <f t="shared" si="10"/>
        <v>0</v>
      </c>
      <c r="T188" s="18">
        <f t="shared" si="11"/>
        <v>0</v>
      </c>
    </row>
    <row r="189" spans="2:20" x14ac:dyDescent="0.2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46100</v>
      </c>
      <c r="G189" s="16">
        <v>17.399999999999999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17.399999999999999</v>
      </c>
      <c r="R189" s="152">
        <f t="shared" si="9"/>
        <v>17.399999999999999</v>
      </c>
      <c r="S189" s="152">
        <f t="shared" si="10"/>
        <v>17.399999999999999</v>
      </c>
      <c r="T189" s="18">
        <f t="shared" si="11"/>
        <v>17.399999999999999</v>
      </c>
    </row>
    <row r="190" spans="2:20" x14ac:dyDescent="0.25">
      <c r="B190" s="117" t="s">
        <v>359</v>
      </c>
      <c r="C190" s="136" t="s">
        <v>360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0</v>
      </c>
      <c r="R190" s="152">
        <f t="shared" si="9"/>
        <v>0</v>
      </c>
      <c r="S190" s="152">
        <f t="shared" si="10"/>
        <v>0</v>
      </c>
      <c r="T190" s="18">
        <f t="shared" si="11"/>
        <v>0</v>
      </c>
    </row>
    <row r="191" spans="2:20" x14ac:dyDescent="0.2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46154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0.85</v>
      </c>
      <c r="S191" s="152">
        <f t="shared" si="10"/>
        <v>0.85</v>
      </c>
      <c r="T191" s="18">
        <f t="shared" si="11"/>
        <v>0.85</v>
      </c>
    </row>
    <row r="192" spans="2:20" x14ac:dyDescent="0.25">
      <c r="B192" s="117" t="s">
        <v>951</v>
      </c>
      <c r="C192" s="136" t="s">
        <v>952</v>
      </c>
      <c r="D192" s="14" t="s">
        <v>941</v>
      </c>
      <c r="E192" s="14" t="s">
        <v>16</v>
      </c>
      <c r="F192" s="15"/>
      <c r="G192" s="16"/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</v>
      </c>
      <c r="T192" s="18">
        <f t="shared" si="11"/>
        <v>0</v>
      </c>
    </row>
    <row r="193" spans="2:20" x14ac:dyDescent="0.25">
      <c r="B193" s="117" t="s">
        <v>890</v>
      </c>
      <c r="C193" s="136" t="s">
        <v>891</v>
      </c>
      <c r="D193" s="14" t="s">
        <v>15</v>
      </c>
      <c r="E193" s="14" t="s">
        <v>16</v>
      </c>
      <c r="F193" s="15">
        <v>46128</v>
      </c>
      <c r="G193" s="16">
        <v>0.04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0.04</v>
      </c>
      <c r="S193" s="152">
        <f t="shared" si="10"/>
        <v>0.04</v>
      </c>
      <c r="T193" s="18">
        <f t="shared" si="11"/>
        <v>0.04</v>
      </c>
    </row>
    <row r="194" spans="2:20" x14ac:dyDescent="0.25">
      <c r="B194" s="117" t="s">
        <v>758</v>
      </c>
      <c r="C194" s="136" t="s">
        <v>759</v>
      </c>
      <c r="D194" s="14" t="s">
        <v>15</v>
      </c>
      <c r="E194" s="14" t="s">
        <v>16</v>
      </c>
      <c r="F194" s="15"/>
      <c r="G194" s="16"/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</v>
      </c>
      <c r="S194" s="152">
        <f t="shared" si="10"/>
        <v>0</v>
      </c>
      <c r="T194" s="18">
        <f t="shared" si="11"/>
        <v>0</v>
      </c>
    </row>
    <row r="195" spans="2:20" x14ac:dyDescent="0.2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46134</v>
      </c>
      <c r="G195" s="16">
        <v>0.3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0.3</v>
      </c>
      <c r="S195" s="152">
        <f t="shared" si="10"/>
        <v>0.3</v>
      </c>
      <c r="T195" s="18">
        <f t="shared" si="11"/>
        <v>0.3</v>
      </c>
    </row>
    <row r="196" spans="2:20" x14ac:dyDescent="0.25">
      <c r="B196" s="117" t="s">
        <v>370</v>
      </c>
      <c r="C196" s="136" t="s">
        <v>721</v>
      </c>
      <c r="D196" s="14" t="s">
        <v>15</v>
      </c>
      <c r="E196" s="14" t="s">
        <v>56</v>
      </c>
      <c r="F196" s="15">
        <v>46107</v>
      </c>
      <c r="G196" s="16">
        <v>0.18890000000000001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>IF(F196&lt;=Exp26H1,G196,0)+IF(H196&lt;=Exp26H1,I196,0)+IF(J196&lt;=Exp26H1,K196,0)+IF(L196&lt;=Exp26H1,M196,0)+IF(N196&lt;=Exp26H1,O196,0)</f>
        <v>0.18890000000000001</v>
      </c>
      <c r="S196" s="152">
        <f>IF(F196&lt;=Exp26Q3,G196,0)+IF(H196&lt;=Exp26Q3,I196,0)+IF(J196&lt;=Exp26Q3,K196,0)+IF(L196&lt;=Exp26Q3,M196,0)+IF(N196&lt;=Exp26Q3,O196,0)</f>
        <v>0.18890000000000001</v>
      </c>
      <c r="T196" s="18">
        <f>G196+I196+K196+M196+O196</f>
        <v>0.18890000000000001</v>
      </c>
    </row>
    <row r="197" spans="2:20" x14ac:dyDescent="0.25">
      <c r="B197" s="117" t="s">
        <v>372</v>
      </c>
      <c r="C197" s="136" t="s">
        <v>373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 t="shared" si="9"/>
        <v>0</v>
      </c>
      <c r="S197" s="152">
        <f t="shared" si="10"/>
        <v>0</v>
      </c>
      <c r="T197" s="18">
        <f t="shared" si="11"/>
        <v>0</v>
      </c>
    </row>
    <row r="198" spans="2:20" x14ac:dyDescent="0.25">
      <c r="B198" s="117" t="s">
        <v>681</v>
      </c>
      <c r="C198" s="136" t="s">
        <v>682</v>
      </c>
      <c r="D198" s="14" t="s">
        <v>15</v>
      </c>
      <c r="E198" s="14" t="s">
        <v>16</v>
      </c>
      <c r="F198" s="15">
        <v>46125</v>
      </c>
      <c r="G198" s="16">
        <v>1.6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1.6</v>
      </c>
      <c r="S198" s="152">
        <f t="shared" si="10"/>
        <v>1.6</v>
      </c>
      <c r="T198" s="18">
        <f t="shared" si="11"/>
        <v>1.6</v>
      </c>
    </row>
    <row r="199" spans="2:20" x14ac:dyDescent="0.25">
      <c r="B199" s="117" t="s">
        <v>620</v>
      </c>
      <c r="C199" s="136" t="s">
        <v>375</v>
      </c>
      <c r="D199" s="14" t="s">
        <v>15</v>
      </c>
      <c r="E199" s="14" t="s">
        <v>16</v>
      </c>
      <c r="F199" s="15">
        <v>46112</v>
      </c>
      <c r="G199" s="16">
        <v>1.62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1.62</v>
      </c>
      <c r="S199" s="152">
        <f t="shared" si="10"/>
        <v>1.62</v>
      </c>
      <c r="T199" s="18">
        <f t="shared" si="11"/>
        <v>1.62</v>
      </c>
    </row>
    <row r="200" spans="2:20" x14ac:dyDescent="0.25">
      <c r="B200" s="117" t="s">
        <v>376</v>
      </c>
      <c r="C200" s="136" t="s">
        <v>377</v>
      </c>
      <c r="D200" s="14" t="s">
        <v>15</v>
      </c>
      <c r="E200" s="14" t="s">
        <v>761</v>
      </c>
      <c r="F200" s="15">
        <v>46121</v>
      </c>
      <c r="G200" s="16">
        <v>127.8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127.8</v>
      </c>
      <c r="S200" s="152">
        <f t="shared" si="10"/>
        <v>127.8</v>
      </c>
      <c r="T200" s="18">
        <f t="shared" si="11"/>
        <v>127.8</v>
      </c>
    </row>
    <row r="201" spans="2:20" x14ac:dyDescent="0.25">
      <c r="B201" s="117" t="s">
        <v>936</v>
      </c>
      <c r="C201" s="136" t="s">
        <v>379</v>
      </c>
      <c r="D201" s="14" t="s">
        <v>15</v>
      </c>
      <c r="E201" s="14" t="s">
        <v>16</v>
      </c>
      <c r="F201" s="15">
        <v>46027</v>
      </c>
      <c r="G201" s="16">
        <v>0.2</v>
      </c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8"/>
        <v>0.2</v>
      </c>
      <c r="R201" s="152">
        <f t="shared" si="9"/>
        <v>0.2</v>
      </c>
      <c r="S201" s="152">
        <f t="shared" si="10"/>
        <v>0.2</v>
      </c>
      <c r="T201" s="18">
        <f t="shared" si="11"/>
        <v>0.2</v>
      </c>
    </row>
    <row r="202" spans="2:20" x14ac:dyDescent="0.25">
      <c r="B202" s="117" t="s">
        <v>382</v>
      </c>
      <c r="C202" s="136" t="s">
        <v>381</v>
      </c>
      <c r="D202" s="45" t="s">
        <v>15</v>
      </c>
      <c r="E202" s="45" t="s">
        <v>16</v>
      </c>
      <c r="F202" s="15">
        <v>46149</v>
      </c>
      <c r="G202" s="16">
        <f>0.48/0.8637</f>
        <v>0.55574852379298367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</v>
      </c>
      <c r="R202" s="152">
        <f t="shared" si="9"/>
        <v>0.55574852379298367</v>
      </c>
      <c r="S202" s="152">
        <f t="shared" si="10"/>
        <v>0.55574852379298367</v>
      </c>
      <c r="T202" s="18">
        <f t="shared" si="11"/>
        <v>0.55574852379298367</v>
      </c>
    </row>
    <row r="203" spans="2:20" x14ac:dyDescent="0.25">
      <c r="B203" s="117" t="s">
        <v>382</v>
      </c>
      <c r="C203" s="136" t="s">
        <v>383</v>
      </c>
      <c r="D203" s="45" t="s">
        <v>15</v>
      </c>
      <c r="E203" s="14" t="s">
        <v>761</v>
      </c>
      <c r="F203" s="15">
        <v>46149</v>
      </c>
      <c r="G203" s="16">
        <v>48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</v>
      </c>
      <c r="R203" s="152">
        <f t="shared" si="9"/>
        <v>48</v>
      </c>
      <c r="S203" s="152">
        <f t="shared" si="10"/>
        <v>48</v>
      </c>
      <c r="T203" s="18">
        <f t="shared" si="11"/>
        <v>48</v>
      </c>
    </row>
    <row r="204" spans="2:20" x14ac:dyDescent="0.25">
      <c r="B204" s="117" t="s">
        <v>384</v>
      </c>
      <c r="C204" s="136" t="s">
        <v>385</v>
      </c>
      <c r="D204" s="45" t="s">
        <v>24</v>
      </c>
      <c r="E204" s="14" t="s">
        <v>16</v>
      </c>
      <c r="F204" s="15">
        <v>46150</v>
      </c>
      <c r="G204" s="16">
        <v>2.2000000000000002</v>
      </c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ref="Q204:Q267" si="16">IF(F204&lt;=Exp26Q1,G204,0)+IF(H204&lt;=Exp26Q1,I204,0)+IF(J204&lt;=Exp26Q1,K204,0)+IF(L204&lt;=Exp26Q1,M204,0)+IF(N204&lt;=Exp26Q1,O204,0)</f>
        <v>0</v>
      </c>
      <c r="R204" s="152">
        <f t="shared" ref="R204:R267" si="17">IF(F204&lt;=Exp26H1,G204,0)+IF(H204&lt;=Exp26H1,I204,0)+IF(J204&lt;=Exp26H1,K204,0)+IF(L204&lt;=Exp26H1,M204,0)+IF(N204&lt;=Exp26H1,O204,0)</f>
        <v>2.2000000000000002</v>
      </c>
      <c r="S204" s="152">
        <f t="shared" ref="S204:S267" si="18">IF(F204&lt;=Exp26Q3,G204,0)+IF(H204&lt;=Exp26Q3,I204,0)+IF(J204&lt;=Exp26Q3,K204,0)+IF(L204&lt;=Exp26Q3,M204,0)+IF(N204&lt;=Exp26Q3,O204,0)</f>
        <v>2.2000000000000002</v>
      </c>
      <c r="T204" s="18">
        <f t="shared" si="11"/>
        <v>2.2000000000000002</v>
      </c>
    </row>
    <row r="205" spans="2:20" x14ac:dyDescent="0.25">
      <c r="B205" s="117" t="s">
        <v>386</v>
      </c>
      <c r="C205" s="136" t="s">
        <v>387</v>
      </c>
      <c r="D205" s="14" t="s">
        <v>15</v>
      </c>
      <c r="E205" s="14" t="s">
        <v>16</v>
      </c>
      <c r="F205" s="15">
        <v>46034</v>
      </c>
      <c r="G205" s="16">
        <v>0.5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16"/>
        <v>0.5</v>
      </c>
      <c r="R205" s="152">
        <f t="shared" si="17"/>
        <v>0.5</v>
      </c>
      <c r="S205" s="152">
        <f t="shared" si="18"/>
        <v>0.5</v>
      </c>
      <c r="T205" s="18">
        <f t="shared" si="11"/>
        <v>0.5</v>
      </c>
    </row>
    <row r="206" spans="2:20" x14ac:dyDescent="0.25">
      <c r="B206" s="117" t="s">
        <v>388</v>
      </c>
      <c r="C206" s="136" t="s">
        <v>389</v>
      </c>
      <c r="D206" s="14" t="s">
        <v>15</v>
      </c>
      <c r="E206" s="14" t="s">
        <v>761</v>
      </c>
      <c r="F206" s="15">
        <v>46086</v>
      </c>
      <c r="G206" s="16">
        <f>2.54/1.1649*0.8705*100</f>
        <v>189.80770881620742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16"/>
        <v>189.80770881620742</v>
      </c>
      <c r="R206" s="152">
        <f t="shared" si="17"/>
        <v>189.80770881620742</v>
      </c>
      <c r="S206" s="152">
        <f t="shared" si="18"/>
        <v>189.80770881620742</v>
      </c>
      <c r="T206" s="18">
        <f t="shared" ref="T206:T269" si="19">G206+I206+K206+M206+O206</f>
        <v>189.80770881620742</v>
      </c>
    </row>
    <row r="207" spans="2:20" x14ac:dyDescent="0.25">
      <c r="B207" s="117" t="s">
        <v>390</v>
      </c>
      <c r="C207" s="136" t="s">
        <v>391</v>
      </c>
      <c r="D207" s="14" t="s">
        <v>15</v>
      </c>
      <c r="E207" s="14" t="s">
        <v>21</v>
      </c>
      <c r="F207" s="15">
        <v>46093</v>
      </c>
      <c r="G207" s="16">
        <v>9.8000000000000007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6"/>
        <v>9.8000000000000007</v>
      </c>
      <c r="R207" s="152">
        <f t="shared" si="17"/>
        <v>9.8000000000000007</v>
      </c>
      <c r="S207" s="152">
        <f t="shared" si="18"/>
        <v>9.8000000000000007</v>
      </c>
      <c r="T207" s="18">
        <f t="shared" si="19"/>
        <v>9.8000000000000007</v>
      </c>
    </row>
    <row r="208" spans="2:20" x14ac:dyDescent="0.25">
      <c r="B208" s="117" t="s">
        <v>392</v>
      </c>
      <c r="C208" s="136" t="s">
        <v>393</v>
      </c>
      <c r="D208" s="14" t="s">
        <v>15</v>
      </c>
      <c r="E208" s="14" t="s">
        <v>761</v>
      </c>
      <c r="F208" s="15">
        <v>46135</v>
      </c>
      <c r="G208" s="16">
        <v>5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6"/>
        <v>0</v>
      </c>
      <c r="R208" s="152">
        <f t="shared" si="17"/>
        <v>5</v>
      </c>
      <c r="S208" s="152">
        <f t="shared" si="18"/>
        <v>5</v>
      </c>
      <c r="T208" s="18">
        <f t="shared" si="19"/>
        <v>5</v>
      </c>
    </row>
    <row r="209" spans="2:20" x14ac:dyDescent="0.2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46146</v>
      </c>
      <c r="G209" s="16">
        <v>1.2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6"/>
        <v>0</v>
      </c>
      <c r="R209" s="152">
        <f t="shared" si="17"/>
        <v>1.2</v>
      </c>
      <c r="S209" s="152">
        <f t="shared" si="18"/>
        <v>1.2</v>
      </c>
      <c r="T209" s="18">
        <f t="shared" si="19"/>
        <v>1.2</v>
      </c>
    </row>
    <row r="210" spans="2:20" x14ac:dyDescent="0.25">
      <c r="B210" s="117" t="s">
        <v>398</v>
      </c>
      <c r="C210" s="136" t="s">
        <v>399</v>
      </c>
      <c r="D210" s="14" t="s">
        <v>24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6"/>
        <v>0</v>
      </c>
      <c r="R210" s="152">
        <f t="shared" si="17"/>
        <v>0</v>
      </c>
      <c r="S210" s="152">
        <f t="shared" si="18"/>
        <v>0</v>
      </c>
      <c r="T210" s="18">
        <f t="shared" si="19"/>
        <v>0</v>
      </c>
    </row>
    <row r="211" spans="2:20" x14ac:dyDescent="0.25">
      <c r="B211" s="117" t="s">
        <v>400</v>
      </c>
      <c r="C211" s="136" t="s">
        <v>401</v>
      </c>
      <c r="D211" s="14" t="s">
        <v>24</v>
      </c>
      <c r="E211" s="14" t="s">
        <v>16</v>
      </c>
      <c r="F211" s="15"/>
      <c r="G211" s="16"/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6"/>
        <v>0</v>
      </c>
      <c r="R211" s="152">
        <f t="shared" si="17"/>
        <v>0</v>
      </c>
      <c r="S211" s="152">
        <f t="shared" si="18"/>
        <v>0</v>
      </c>
      <c r="T211" s="18">
        <f t="shared" si="19"/>
        <v>0</v>
      </c>
    </row>
    <row r="212" spans="2:20" x14ac:dyDescent="0.25">
      <c r="B212" s="117" t="s">
        <v>919</v>
      </c>
      <c r="C212" s="136" t="s">
        <v>920</v>
      </c>
      <c r="D212" s="14" t="s">
        <v>755</v>
      </c>
      <c r="E212" s="14" t="s">
        <v>475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6"/>
        <v>0</v>
      </c>
      <c r="R212" s="152">
        <f t="shared" si="17"/>
        <v>0</v>
      </c>
      <c r="S212" s="152">
        <f t="shared" si="18"/>
        <v>0</v>
      </c>
      <c r="T212" s="18">
        <f t="shared" si="19"/>
        <v>0</v>
      </c>
    </row>
    <row r="213" spans="2:20" x14ac:dyDescent="0.25">
      <c r="B213" s="117" t="s">
        <v>404</v>
      </c>
      <c r="C213" s="136" t="s">
        <v>405</v>
      </c>
      <c r="D213" s="14" t="s">
        <v>15</v>
      </c>
      <c r="E213" s="14" t="s">
        <v>16</v>
      </c>
      <c r="F213" s="15">
        <v>46135</v>
      </c>
      <c r="G213" s="16">
        <v>0.36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6"/>
        <v>0</v>
      </c>
      <c r="R213" s="152">
        <f t="shared" si="17"/>
        <v>0.36</v>
      </c>
      <c r="S213" s="152">
        <f t="shared" si="18"/>
        <v>0.36</v>
      </c>
      <c r="T213" s="18">
        <f t="shared" si="19"/>
        <v>0.36</v>
      </c>
    </row>
    <row r="214" spans="2:20" x14ac:dyDescent="0.2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46141</v>
      </c>
      <c r="G214" s="16">
        <v>6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16"/>
        <v>0</v>
      </c>
      <c r="R214" s="152">
        <f t="shared" si="17"/>
        <v>6</v>
      </c>
      <c r="S214" s="152">
        <f t="shared" si="18"/>
        <v>6</v>
      </c>
      <c r="T214" s="18">
        <f t="shared" si="19"/>
        <v>6</v>
      </c>
    </row>
    <row r="215" spans="2:20" x14ac:dyDescent="0.2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46147</v>
      </c>
      <c r="G215" s="16">
        <v>4.12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6"/>
        <v>0</v>
      </c>
      <c r="R215" s="152">
        <f t="shared" si="17"/>
        <v>4.12</v>
      </c>
      <c r="S215" s="152">
        <f t="shared" si="18"/>
        <v>4.12</v>
      </c>
      <c r="T215" s="18">
        <f t="shared" si="19"/>
        <v>4.12</v>
      </c>
    </row>
    <row r="216" spans="2:20" x14ac:dyDescent="0.2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46148</v>
      </c>
      <c r="G216" s="16">
        <v>2.5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16"/>
        <v>0</v>
      </c>
      <c r="R216" s="152">
        <f t="shared" si="17"/>
        <v>2.5</v>
      </c>
      <c r="S216" s="152">
        <f t="shared" si="18"/>
        <v>2.5</v>
      </c>
      <c r="T216" s="18">
        <f t="shared" si="19"/>
        <v>2.5</v>
      </c>
    </row>
    <row r="217" spans="2:20" x14ac:dyDescent="0.2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46129</v>
      </c>
      <c r="G217" s="16">
        <v>0.50090000000000001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6"/>
        <v>0</v>
      </c>
      <c r="R217" s="152">
        <f t="shared" si="17"/>
        <v>0.50090000000000001</v>
      </c>
      <c r="S217" s="152">
        <f t="shared" si="18"/>
        <v>0.50090000000000001</v>
      </c>
      <c r="T217" s="18">
        <f t="shared" si="19"/>
        <v>0.50090000000000001</v>
      </c>
    </row>
    <row r="218" spans="2:20" x14ac:dyDescent="0.25">
      <c r="B218" s="117" t="s">
        <v>412</v>
      </c>
      <c r="C218" s="136" t="s">
        <v>413</v>
      </c>
      <c r="D218" s="14" t="s">
        <v>24</v>
      </c>
      <c r="E218" s="14" t="s">
        <v>16</v>
      </c>
      <c r="F218" s="15">
        <v>46153</v>
      </c>
      <c r="G218" s="16">
        <v>4.2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16"/>
        <v>0</v>
      </c>
      <c r="R218" s="152">
        <f t="shared" si="17"/>
        <v>4.2</v>
      </c>
      <c r="S218" s="152">
        <f t="shared" si="18"/>
        <v>4.2</v>
      </c>
      <c r="T218" s="18">
        <f t="shared" si="19"/>
        <v>4.2</v>
      </c>
    </row>
    <row r="219" spans="2:20" x14ac:dyDescent="0.25">
      <c r="B219" s="117" t="s">
        <v>414</v>
      </c>
      <c r="C219" s="136" t="s">
        <v>415</v>
      </c>
      <c r="D219" s="14" t="s">
        <v>24</v>
      </c>
      <c r="E219" s="14" t="s">
        <v>16</v>
      </c>
      <c r="F219" s="15">
        <v>46146</v>
      </c>
      <c r="G219" s="16">
        <v>1.9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6"/>
        <v>0</v>
      </c>
      <c r="R219" s="152">
        <f t="shared" si="17"/>
        <v>1.9</v>
      </c>
      <c r="S219" s="152">
        <f t="shared" si="18"/>
        <v>1.9</v>
      </c>
      <c r="T219" s="18">
        <f t="shared" si="19"/>
        <v>1.9</v>
      </c>
    </row>
    <row r="220" spans="2:20" x14ac:dyDescent="0.25">
      <c r="B220" s="117" t="s">
        <v>888</v>
      </c>
      <c r="C220" s="136" t="s">
        <v>889</v>
      </c>
      <c r="D220" s="14" t="s">
        <v>15</v>
      </c>
      <c r="E220" s="14" t="s">
        <v>200</v>
      </c>
      <c r="F220" s="15">
        <v>46142</v>
      </c>
      <c r="G220" s="16">
        <v>2.65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6"/>
        <v>0</v>
      </c>
      <c r="R220" s="152">
        <f t="shared" si="17"/>
        <v>2.65</v>
      </c>
      <c r="S220" s="152">
        <f t="shared" si="18"/>
        <v>2.65</v>
      </c>
      <c r="T220" s="18">
        <f t="shared" si="19"/>
        <v>2.65</v>
      </c>
    </row>
    <row r="221" spans="2:20" x14ac:dyDescent="0.25">
      <c r="B221" s="117" t="s">
        <v>418</v>
      </c>
      <c r="C221" s="136" t="s">
        <v>419</v>
      </c>
      <c r="D221" s="14" t="s">
        <v>15</v>
      </c>
      <c r="E221" s="14" t="s">
        <v>761</v>
      </c>
      <c r="F221" s="15"/>
      <c r="G221" s="16"/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6"/>
        <v>0</v>
      </c>
      <c r="R221" s="152">
        <f t="shared" si="17"/>
        <v>0</v>
      </c>
      <c r="S221" s="152">
        <f t="shared" si="18"/>
        <v>0</v>
      </c>
      <c r="T221" s="18">
        <f t="shared" si="19"/>
        <v>0</v>
      </c>
    </row>
    <row r="222" spans="2:20" x14ac:dyDescent="0.25">
      <c r="B222" s="155" t="s">
        <v>420</v>
      </c>
      <c r="C222" s="156" t="s">
        <v>421</v>
      </c>
      <c r="D222" s="39" t="s">
        <v>15</v>
      </c>
      <c r="E222" s="39" t="s">
        <v>21</v>
      </c>
      <c r="F222" s="15">
        <v>46114</v>
      </c>
      <c r="G222" s="16">
        <v>3.2</v>
      </c>
      <c r="H222" s="15"/>
      <c r="I222" s="16"/>
      <c r="J222" s="15"/>
      <c r="K222" s="16"/>
      <c r="L222" s="15"/>
      <c r="M222" s="63"/>
      <c r="N222" s="17"/>
      <c r="O222" s="16"/>
      <c r="P222" s="41"/>
      <c r="Q222" s="152">
        <f t="shared" si="16"/>
        <v>0</v>
      </c>
      <c r="R222" s="152">
        <f t="shared" si="17"/>
        <v>3.2</v>
      </c>
      <c r="S222" s="152">
        <f t="shared" si="18"/>
        <v>3.2</v>
      </c>
      <c r="T222" s="18">
        <f t="shared" si="19"/>
        <v>3.2</v>
      </c>
    </row>
    <row r="223" spans="2:20" x14ac:dyDescent="0.25">
      <c r="B223" s="117" t="s">
        <v>822</v>
      </c>
      <c r="C223" s="136" t="s">
        <v>395</v>
      </c>
      <c r="D223" s="14" t="s">
        <v>15</v>
      </c>
      <c r="E223" s="14" t="s">
        <v>16</v>
      </c>
      <c r="F223" s="15">
        <v>46072</v>
      </c>
      <c r="G223" s="16">
        <f>0.3227</f>
        <v>0.32269999999999999</v>
      </c>
      <c r="H223" s="15">
        <v>46163</v>
      </c>
      <c r="I223" s="16">
        <f>0.3906/1.16</f>
        <v>0.33672413793103451</v>
      </c>
      <c r="J223" s="15"/>
      <c r="K223" s="16"/>
      <c r="L223" s="15"/>
      <c r="M223" s="63"/>
      <c r="N223" s="17"/>
      <c r="O223" s="16"/>
      <c r="P223" s="16"/>
      <c r="Q223" s="152">
        <f t="shared" si="16"/>
        <v>0.32269999999999999</v>
      </c>
      <c r="R223" s="152">
        <f t="shared" si="17"/>
        <v>0.65942413793103449</v>
      </c>
      <c r="S223" s="152">
        <f t="shared" si="18"/>
        <v>0.65942413793103449</v>
      </c>
      <c r="T223" s="18">
        <f t="shared" si="19"/>
        <v>0.65942413793103449</v>
      </c>
    </row>
    <row r="224" spans="2:20" x14ac:dyDescent="0.2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46066</v>
      </c>
      <c r="G224" s="16">
        <v>5.35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16"/>
        <v>5.35</v>
      </c>
      <c r="R224" s="152">
        <f t="shared" si="17"/>
        <v>5.35</v>
      </c>
      <c r="S224" s="152">
        <f t="shared" si="18"/>
        <v>5.35</v>
      </c>
      <c r="T224" s="18">
        <f t="shared" si="19"/>
        <v>5.35</v>
      </c>
    </row>
    <row r="225" spans="2:20" x14ac:dyDescent="0.25">
      <c r="B225" s="155" t="s">
        <v>739</v>
      </c>
      <c r="C225" s="156" t="s">
        <v>741</v>
      </c>
      <c r="D225" s="39" t="s">
        <v>15</v>
      </c>
      <c r="E225" s="39" t="s">
        <v>16</v>
      </c>
      <c r="F225" s="15">
        <v>46080</v>
      </c>
      <c r="G225" s="16">
        <v>0.7</v>
      </c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16"/>
        <v>0.7</v>
      </c>
      <c r="R225" s="152">
        <f t="shared" si="17"/>
        <v>0.7</v>
      </c>
      <c r="S225" s="152">
        <f t="shared" si="18"/>
        <v>0.7</v>
      </c>
      <c r="T225" s="18">
        <f t="shared" si="19"/>
        <v>0.7</v>
      </c>
    </row>
    <row r="226" spans="2:20" x14ac:dyDescent="0.2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46142</v>
      </c>
      <c r="G226" s="16">
        <v>1.57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16"/>
        <v>0</v>
      </c>
      <c r="R226" s="152">
        <f t="shared" si="17"/>
        <v>1.57</v>
      </c>
      <c r="S226" s="152">
        <f t="shared" si="18"/>
        <v>1.57</v>
      </c>
      <c r="T226" s="18">
        <f t="shared" si="19"/>
        <v>1.57</v>
      </c>
    </row>
    <row r="227" spans="2:20" x14ac:dyDescent="0.2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46107</v>
      </c>
      <c r="G227" s="16">
        <v>1.85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6"/>
        <v>0</v>
      </c>
      <c r="R227" s="152">
        <f>IF(F227&lt;=Exp26H1,G227,0)+IF(H227&lt;=Exp26H1,I227,0)+IF(J227&lt;=Exp26H1,K227,0)+IF(L227&lt;=Exp26H1,M227,0)+IF(N227&lt;=Exp26H1,O227,0)</f>
        <v>1.85</v>
      </c>
      <c r="S227" s="152">
        <f>IF(F227&lt;=Exp26Q3,G227,0)+IF(H227&lt;=Exp26Q3,I227,0)+IF(J227&lt;=Exp26Q3,K227,0)+IF(L227&lt;=Exp26Q3,M227,0)+IF(N227&lt;=Exp26Q3,O227,0)</f>
        <v>1.85</v>
      </c>
      <c r="T227" s="18">
        <f>G227+I227+K227+M227+O227</f>
        <v>1.85</v>
      </c>
    </row>
    <row r="228" spans="2:20" x14ac:dyDescent="0.2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16"/>
        <v>0</v>
      </c>
      <c r="R228" s="152">
        <f t="shared" si="17"/>
        <v>0</v>
      </c>
      <c r="S228" s="152">
        <f t="shared" si="18"/>
        <v>0</v>
      </c>
      <c r="T228" s="18">
        <f t="shared" si="19"/>
        <v>0</v>
      </c>
    </row>
    <row r="229" spans="2:20" x14ac:dyDescent="0.25">
      <c r="B229" s="158" t="s">
        <v>426</v>
      </c>
      <c r="C229" s="159" t="s">
        <v>427</v>
      </c>
      <c r="D229" s="39" t="s">
        <v>15</v>
      </c>
      <c r="E229" s="45" t="s">
        <v>200</v>
      </c>
      <c r="F229" s="147">
        <v>46106</v>
      </c>
      <c r="G229" s="148">
        <f>8.5*0.98528546</f>
        <v>8.3749264099999987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16"/>
        <v>0</v>
      </c>
      <c r="R229" s="152">
        <f t="shared" si="17"/>
        <v>8.3749264099999987</v>
      </c>
      <c r="S229" s="152">
        <f t="shared" si="18"/>
        <v>8.3749264099999987</v>
      </c>
      <c r="T229" s="18">
        <f t="shared" si="19"/>
        <v>8.3749264099999987</v>
      </c>
    </row>
    <row r="230" spans="2:20" x14ac:dyDescent="0.25">
      <c r="B230" s="158" t="s">
        <v>838</v>
      </c>
      <c r="C230" s="159" t="s">
        <v>839</v>
      </c>
      <c r="D230" s="39" t="s">
        <v>15</v>
      </c>
      <c r="E230" s="45" t="s">
        <v>200</v>
      </c>
      <c r="F230" s="153">
        <v>46113</v>
      </c>
      <c r="G230" s="154">
        <f>8.5*0.97746825</f>
        <v>8.3084801250000009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6"/>
        <v>0</v>
      </c>
      <c r="R230" s="152">
        <f t="shared" si="17"/>
        <v>8.3084801250000009</v>
      </c>
      <c r="S230" s="152">
        <f t="shared" si="18"/>
        <v>8.3084801250000009</v>
      </c>
      <c r="T230" s="18">
        <f t="shared" si="19"/>
        <v>8.3084801250000009</v>
      </c>
    </row>
    <row r="231" spans="2:20" x14ac:dyDescent="0.2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46134</v>
      </c>
      <c r="G231" s="16">
        <v>4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6"/>
        <v>0</v>
      </c>
      <c r="R231" s="152">
        <f t="shared" si="17"/>
        <v>4</v>
      </c>
      <c r="S231" s="152">
        <f t="shared" si="18"/>
        <v>4</v>
      </c>
      <c r="T231" s="18">
        <f t="shared" si="19"/>
        <v>4</v>
      </c>
    </row>
    <row r="232" spans="2:20" x14ac:dyDescent="0.25">
      <c r="B232" s="158" t="s">
        <v>430</v>
      </c>
      <c r="C232" s="159" t="s">
        <v>953</v>
      </c>
      <c r="D232" s="39" t="s">
        <v>941</v>
      </c>
      <c r="E232" s="45" t="s">
        <v>16</v>
      </c>
      <c r="F232" s="15">
        <v>46041</v>
      </c>
      <c r="G232" s="16">
        <v>0.1208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16"/>
        <v>0.1208</v>
      </c>
      <c r="R232" s="152">
        <f t="shared" si="17"/>
        <v>0.1208</v>
      </c>
      <c r="S232" s="152">
        <f t="shared" si="18"/>
        <v>0.1208</v>
      </c>
      <c r="T232" s="18">
        <f t="shared" si="19"/>
        <v>0.1208</v>
      </c>
    </row>
    <row r="233" spans="2:20" x14ac:dyDescent="0.25">
      <c r="B233" s="117" t="s">
        <v>435</v>
      </c>
      <c r="C233" s="136" t="s">
        <v>436</v>
      </c>
      <c r="D233" s="14" t="s">
        <v>24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6"/>
        <v>0</v>
      </c>
      <c r="R233" s="152">
        <f t="shared" si="17"/>
        <v>0</v>
      </c>
      <c r="S233" s="152">
        <f t="shared" si="18"/>
        <v>0</v>
      </c>
      <c r="T233" s="18">
        <f t="shared" si="19"/>
        <v>0</v>
      </c>
    </row>
    <row r="234" spans="2:20" x14ac:dyDescent="0.25">
      <c r="B234" s="117" t="s">
        <v>439</v>
      </c>
      <c r="C234" s="136" t="s">
        <v>440</v>
      </c>
      <c r="D234" s="14" t="s">
        <v>27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6"/>
        <v>0</v>
      </c>
      <c r="R234" s="152">
        <f t="shared" si="17"/>
        <v>0</v>
      </c>
      <c r="S234" s="152">
        <f t="shared" si="18"/>
        <v>0</v>
      </c>
      <c r="T234" s="18">
        <f t="shared" si="19"/>
        <v>0</v>
      </c>
    </row>
    <row r="235" spans="2:20" x14ac:dyDescent="0.25">
      <c r="B235" s="117" t="s">
        <v>445</v>
      </c>
      <c r="C235" s="136" t="s">
        <v>446</v>
      </c>
      <c r="D235" s="14" t="s">
        <v>15</v>
      </c>
      <c r="E235" s="14" t="s">
        <v>761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6"/>
        <v>0</v>
      </c>
      <c r="R235" s="152">
        <f t="shared" si="17"/>
        <v>0</v>
      </c>
      <c r="S235" s="152">
        <f t="shared" si="18"/>
        <v>0</v>
      </c>
      <c r="T235" s="18">
        <f t="shared" si="19"/>
        <v>0</v>
      </c>
    </row>
    <row r="236" spans="2:20" x14ac:dyDescent="0.25">
      <c r="B236" s="117" t="s">
        <v>447</v>
      </c>
      <c r="C236" s="136" t="s">
        <v>448</v>
      </c>
      <c r="D236" s="14" t="s">
        <v>15</v>
      </c>
      <c r="E236" s="14" t="s">
        <v>56</v>
      </c>
      <c r="F236" s="15">
        <v>46100</v>
      </c>
      <c r="G236" s="16">
        <v>0.49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6"/>
        <v>0.49</v>
      </c>
      <c r="R236" s="152">
        <f t="shared" si="17"/>
        <v>0.49</v>
      </c>
      <c r="S236" s="152">
        <f t="shared" si="18"/>
        <v>0.49</v>
      </c>
      <c r="T236" s="18">
        <f t="shared" si="19"/>
        <v>0.49</v>
      </c>
    </row>
    <row r="237" spans="2:20" x14ac:dyDescent="0.25">
      <c r="B237" s="117" t="s">
        <v>733</v>
      </c>
      <c r="C237" s="136" t="s">
        <v>954</v>
      </c>
      <c r="D237" s="14" t="s">
        <v>941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6"/>
        <v>0</v>
      </c>
      <c r="R237" s="152">
        <f t="shared" si="17"/>
        <v>0</v>
      </c>
      <c r="S237" s="152">
        <f t="shared" si="18"/>
        <v>0</v>
      </c>
      <c r="T237" s="18">
        <f t="shared" si="19"/>
        <v>0</v>
      </c>
    </row>
    <row r="238" spans="2:20" x14ac:dyDescent="0.25">
      <c r="B238" s="117" t="s">
        <v>733</v>
      </c>
      <c r="C238" s="136" t="s">
        <v>362</v>
      </c>
      <c r="D238" s="14" t="s">
        <v>24</v>
      </c>
      <c r="E238" s="14" t="s">
        <v>16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6"/>
        <v>0</v>
      </c>
      <c r="R238" s="152">
        <f t="shared" si="17"/>
        <v>0</v>
      </c>
      <c r="S238" s="152">
        <f t="shared" si="18"/>
        <v>0</v>
      </c>
      <c r="T238" s="18">
        <f t="shared" si="19"/>
        <v>0</v>
      </c>
    </row>
    <row r="239" spans="2:20" x14ac:dyDescent="0.25">
      <c r="B239" s="117" t="s">
        <v>451</v>
      </c>
      <c r="C239" s="136" t="s">
        <v>452</v>
      </c>
      <c r="D239" s="14" t="s">
        <v>15</v>
      </c>
      <c r="E239" s="14" t="s">
        <v>56</v>
      </c>
      <c r="F239" s="15">
        <v>46104</v>
      </c>
      <c r="G239" s="16">
        <v>0.09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16"/>
        <v>0</v>
      </c>
      <c r="R239" s="152">
        <f t="shared" si="17"/>
        <v>0.09</v>
      </c>
      <c r="S239" s="152">
        <f t="shared" si="18"/>
        <v>0.09</v>
      </c>
      <c r="T239" s="18">
        <f t="shared" si="19"/>
        <v>0.09</v>
      </c>
    </row>
    <row r="240" spans="2:20" x14ac:dyDescent="0.25">
      <c r="B240" s="117" t="s">
        <v>923</v>
      </c>
      <c r="C240" s="136" t="s">
        <v>924</v>
      </c>
      <c r="D240" s="14" t="s">
        <v>755</v>
      </c>
      <c r="E240" s="14" t="s">
        <v>475</v>
      </c>
      <c r="F240" s="15">
        <v>46122</v>
      </c>
      <c r="G240" s="16">
        <v>5.4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6"/>
        <v>0</v>
      </c>
      <c r="R240" s="152">
        <f t="shared" si="17"/>
        <v>5.4</v>
      </c>
      <c r="S240" s="152">
        <f t="shared" si="18"/>
        <v>5.4</v>
      </c>
      <c r="T240" s="18">
        <f t="shared" si="19"/>
        <v>5.4</v>
      </c>
    </row>
    <row r="241" spans="2:20" x14ac:dyDescent="0.25">
      <c r="B241" s="117" t="s">
        <v>853</v>
      </c>
      <c r="C241" s="136" t="s">
        <v>854</v>
      </c>
      <c r="D241" s="14" t="s">
        <v>15</v>
      </c>
      <c r="E241" s="14" t="s">
        <v>200</v>
      </c>
      <c r="F241" s="15">
        <v>46111</v>
      </c>
      <c r="G241" s="16">
        <v>3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6"/>
        <v>0</v>
      </c>
      <c r="R241" s="152">
        <f t="shared" si="17"/>
        <v>3</v>
      </c>
      <c r="S241" s="152">
        <f t="shared" si="18"/>
        <v>3</v>
      </c>
      <c r="T241" s="18">
        <f t="shared" si="19"/>
        <v>3</v>
      </c>
    </row>
    <row r="242" spans="2:20" x14ac:dyDescent="0.25">
      <c r="B242" s="117" t="s">
        <v>455</v>
      </c>
      <c r="C242" s="136" t="s">
        <v>456</v>
      </c>
      <c r="D242" s="14" t="s">
        <v>15</v>
      </c>
      <c r="E242" s="14" t="s">
        <v>200</v>
      </c>
      <c r="F242" s="153">
        <v>46107</v>
      </c>
      <c r="G242" s="154">
        <f>8*0.92695117</f>
        <v>7.4156093600000004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6"/>
        <v>0</v>
      </c>
      <c r="R242" s="152">
        <f>IF(F242&lt;=Exp26H1,G242,0)+IF(H242&lt;=Exp26H1,I242,0)+IF(J242&lt;=Exp26H1,K242,0)+IF(L242&lt;=Exp26H1,M242,0)+IF(N242&lt;=Exp26H1,O242,0)</f>
        <v>7.4156093600000004</v>
      </c>
      <c r="S242" s="152">
        <f>IF(F242&lt;=Exp26Q3,G242,0)+IF(H242&lt;=Exp26Q3,I242,0)+IF(J242&lt;=Exp26Q3,K242,0)+IF(L242&lt;=Exp26Q3,M242,0)+IF(N242&lt;=Exp26Q3,O242,0)</f>
        <v>7.4156093600000004</v>
      </c>
      <c r="T242" s="18">
        <f>G242+I242+K242+M242+O242</f>
        <v>7.4156093600000004</v>
      </c>
    </row>
    <row r="243" spans="2:20" x14ac:dyDescent="0.25">
      <c r="B243" s="117" t="s">
        <v>457</v>
      </c>
      <c r="C243" s="136" t="s">
        <v>458</v>
      </c>
      <c r="D243" s="14" t="s">
        <v>15</v>
      </c>
      <c r="E243" s="14" t="s">
        <v>200</v>
      </c>
      <c r="F243" s="147">
        <v>46106</v>
      </c>
      <c r="G243" s="148">
        <f>20.45*0.96957866</f>
        <v>19.827883597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6"/>
        <v>0</v>
      </c>
      <c r="R243" s="152">
        <f t="shared" si="17"/>
        <v>19.827883597</v>
      </c>
      <c r="S243" s="152">
        <f t="shared" si="18"/>
        <v>19.827883597</v>
      </c>
      <c r="T243" s="18">
        <f t="shared" si="19"/>
        <v>19.827883597</v>
      </c>
    </row>
    <row r="244" spans="2:20" x14ac:dyDescent="0.25">
      <c r="B244" s="117" t="s">
        <v>461</v>
      </c>
      <c r="C244" s="136" t="s">
        <v>462</v>
      </c>
      <c r="D244" s="14" t="s">
        <v>15</v>
      </c>
      <c r="E244" s="14" t="s">
        <v>21</v>
      </c>
      <c r="F244" s="15">
        <v>46125</v>
      </c>
      <c r="G244" s="16">
        <f>8/1.1711*0.9241</f>
        <v>6.3126974639228077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6"/>
        <v>0</v>
      </c>
      <c r="R244" s="152">
        <f t="shared" si="17"/>
        <v>6.3126974639228077</v>
      </c>
      <c r="S244" s="152">
        <f t="shared" si="18"/>
        <v>6.3126974639228077</v>
      </c>
      <c r="T244" s="18">
        <f t="shared" si="19"/>
        <v>6.3126974639228077</v>
      </c>
    </row>
    <row r="245" spans="2:20" x14ac:dyDescent="0.25">
      <c r="B245" s="117" t="s">
        <v>463</v>
      </c>
      <c r="C245" s="136" t="s">
        <v>464</v>
      </c>
      <c r="D245" s="14" t="s">
        <v>15</v>
      </c>
      <c r="E245" s="14" t="s">
        <v>21</v>
      </c>
      <c r="F245" s="15">
        <v>46108</v>
      </c>
      <c r="G245" s="16">
        <v>26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6"/>
        <v>0</v>
      </c>
      <c r="R245" s="152">
        <f t="shared" si="17"/>
        <v>26</v>
      </c>
      <c r="S245" s="152">
        <f t="shared" si="18"/>
        <v>26</v>
      </c>
      <c r="T245" s="18">
        <f t="shared" si="19"/>
        <v>26</v>
      </c>
    </row>
    <row r="246" spans="2:20" x14ac:dyDescent="0.25">
      <c r="B246" s="117" t="s">
        <v>467</v>
      </c>
      <c r="C246" s="136" t="s">
        <v>468</v>
      </c>
      <c r="D246" s="14" t="s">
        <v>15</v>
      </c>
      <c r="E246" s="14" t="s">
        <v>200</v>
      </c>
      <c r="F246" s="15">
        <v>46161</v>
      </c>
      <c r="G246" s="16">
        <v>5.25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6"/>
        <v>0</v>
      </c>
      <c r="R246" s="152">
        <f t="shared" si="17"/>
        <v>5.25</v>
      </c>
      <c r="S246" s="152">
        <f t="shared" si="18"/>
        <v>5.25</v>
      </c>
      <c r="T246" s="18">
        <f t="shared" si="19"/>
        <v>5.25</v>
      </c>
    </row>
    <row r="247" spans="2:20" x14ac:dyDescent="0.25">
      <c r="B247" s="117" t="s">
        <v>955</v>
      </c>
      <c r="C247" s="136" t="s">
        <v>956</v>
      </c>
      <c r="D247" s="14" t="s">
        <v>941</v>
      </c>
      <c r="E247" s="14" t="s">
        <v>16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6"/>
        <v>0</v>
      </c>
      <c r="R247" s="152">
        <f t="shared" si="17"/>
        <v>0</v>
      </c>
      <c r="S247" s="152">
        <f t="shared" si="18"/>
        <v>0</v>
      </c>
      <c r="T247" s="18">
        <f t="shared" si="19"/>
        <v>0</v>
      </c>
    </row>
    <row r="248" spans="2:20" x14ac:dyDescent="0.25">
      <c r="B248" s="117" t="s">
        <v>471</v>
      </c>
      <c r="C248" s="136" t="s">
        <v>472</v>
      </c>
      <c r="D248" s="14" t="s">
        <v>15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6"/>
        <v>0</v>
      </c>
      <c r="R248" s="152">
        <f t="shared" si="17"/>
        <v>0</v>
      </c>
      <c r="S248" s="152">
        <f t="shared" si="18"/>
        <v>0</v>
      </c>
      <c r="T248" s="18">
        <f t="shared" si="19"/>
        <v>0</v>
      </c>
    </row>
    <row r="249" spans="2:20" x14ac:dyDescent="0.25">
      <c r="B249" s="117" t="s">
        <v>473</v>
      </c>
      <c r="C249" s="136" t="s">
        <v>669</v>
      </c>
      <c r="D249" s="14" t="s">
        <v>755</v>
      </c>
      <c r="E249" s="14" t="s">
        <v>475</v>
      </c>
      <c r="F249" s="15">
        <v>46162</v>
      </c>
      <c r="G249" s="16">
        <v>5</v>
      </c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6"/>
        <v>0</v>
      </c>
      <c r="R249" s="152">
        <f t="shared" si="17"/>
        <v>5</v>
      </c>
      <c r="S249" s="152">
        <f t="shared" si="18"/>
        <v>5</v>
      </c>
      <c r="T249" s="18">
        <f t="shared" si="19"/>
        <v>5</v>
      </c>
    </row>
    <row r="250" spans="2:20" x14ac:dyDescent="0.25">
      <c r="B250" s="117" t="s">
        <v>476</v>
      </c>
      <c r="C250" s="136" t="s">
        <v>477</v>
      </c>
      <c r="D250" s="14" t="s">
        <v>15</v>
      </c>
      <c r="E250" s="14" t="s">
        <v>200</v>
      </c>
      <c r="F250" s="15">
        <v>46058</v>
      </c>
      <c r="G250" s="16">
        <v>0.5</v>
      </c>
      <c r="H250" s="15">
        <v>46122</v>
      </c>
      <c r="I250" s="16">
        <v>0.51</v>
      </c>
      <c r="J250" s="15"/>
      <c r="K250" s="16"/>
      <c r="L250" s="15"/>
      <c r="M250" s="63"/>
      <c r="N250" s="17"/>
      <c r="O250" s="16"/>
      <c r="P250" s="16"/>
      <c r="Q250" s="152">
        <f t="shared" si="16"/>
        <v>0.5</v>
      </c>
      <c r="R250" s="152">
        <f t="shared" si="17"/>
        <v>1.01</v>
      </c>
      <c r="S250" s="152">
        <f t="shared" si="18"/>
        <v>1.01</v>
      </c>
      <c r="T250" s="18">
        <f t="shared" si="19"/>
        <v>1.01</v>
      </c>
    </row>
    <row r="251" spans="2:20" x14ac:dyDescent="0.25">
      <c r="B251" s="117" t="s">
        <v>957</v>
      </c>
      <c r="C251" s="136" t="s">
        <v>958</v>
      </c>
      <c r="D251" s="14" t="s">
        <v>941</v>
      </c>
      <c r="E251" s="14" t="s">
        <v>16</v>
      </c>
      <c r="F251" s="15"/>
      <c r="G251" s="16"/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6"/>
        <v>0</v>
      </c>
      <c r="R251" s="152">
        <f t="shared" si="17"/>
        <v>0</v>
      </c>
      <c r="S251" s="152">
        <f t="shared" si="18"/>
        <v>0</v>
      </c>
      <c r="T251" s="18">
        <f t="shared" si="19"/>
        <v>0</v>
      </c>
    </row>
    <row r="252" spans="2:20" x14ac:dyDescent="0.25">
      <c r="B252" s="117" t="s">
        <v>932</v>
      </c>
      <c r="C252" s="136" t="s">
        <v>933</v>
      </c>
      <c r="D252" s="14" t="s">
        <v>15</v>
      </c>
      <c r="E252" s="14" t="s">
        <v>56</v>
      </c>
      <c r="F252" s="15">
        <v>46072</v>
      </c>
      <c r="G252" s="16">
        <f>1.47/11.659*1.1845</f>
        <v>0.14934514109271807</v>
      </c>
      <c r="H252" s="15">
        <v>46150</v>
      </c>
      <c r="I252" s="16">
        <f>1.44/10.8675*1.177</f>
        <v>0.15595859213250518</v>
      </c>
      <c r="J252" s="15"/>
      <c r="K252" s="16"/>
      <c r="L252" s="15"/>
      <c r="M252" s="63"/>
      <c r="N252" s="17"/>
      <c r="O252" s="16"/>
      <c r="P252" s="16"/>
      <c r="Q252" s="152">
        <f t="shared" si="16"/>
        <v>0.14934514109271807</v>
      </c>
      <c r="R252" s="152">
        <f t="shared" si="17"/>
        <v>0.30530373322522325</v>
      </c>
      <c r="S252" s="152">
        <f t="shared" si="18"/>
        <v>0.30530373322522325</v>
      </c>
      <c r="T252" s="18">
        <f t="shared" si="19"/>
        <v>0.30530373322522325</v>
      </c>
    </row>
    <row r="253" spans="2:20" x14ac:dyDescent="0.25">
      <c r="B253" s="117" t="s">
        <v>892</v>
      </c>
      <c r="C253" s="136" t="s">
        <v>893</v>
      </c>
      <c r="D253" s="14" t="s">
        <v>24</v>
      </c>
      <c r="E253" s="14" t="s">
        <v>16</v>
      </c>
      <c r="F253" s="15">
        <v>46160</v>
      </c>
      <c r="G253" s="16">
        <v>2.95</v>
      </c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6"/>
        <v>0</v>
      </c>
      <c r="R253" s="152">
        <f t="shared" si="17"/>
        <v>2.95</v>
      </c>
      <c r="S253" s="152">
        <f t="shared" si="18"/>
        <v>2.95</v>
      </c>
      <c r="T253" s="18">
        <f t="shared" si="19"/>
        <v>2.95</v>
      </c>
    </row>
    <row r="254" spans="2:20" x14ac:dyDescent="0.25">
      <c r="B254" s="117" t="s">
        <v>480</v>
      </c>
      <c r="C254" s="136" t="s">
        <v>481</v>
      </c>
      <c r="D254" s="14" t="s">
        <v>237</v>
      </c>
      <c r="E254" s="14" t="s">
        <v>16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6"/>
        <v>0</v>
      </c>
      <c r="R254" s="152">
        <f t="shared" si="17"/>
        <v>0</v>
      </c>
      <c r="S254" s="152">
        <f t="shared" si="18"/>
        <v>0</v>
      </c>
      <c r="T254" s="18">
        <f t="shared" si="19"/>
        <v>0</v>
      </c>
    </row>
    <row r="255" spans="2:20" x14ac:dyDescent="0.25">
      <c r="B255" s="117" t="s">
        <v>482</v>
      </c>
      <c r="C255" s="136" t="s">
        <v>483</v>
      </c>
      <c r="D255" s="14" t="s">
        <v>15</v>
      </c>
      <c r="E255" s="14" t="s">
        <v>21</v>
      </c>
      <c r="F255" s="15">
        <v>46157</v>
      </c>
      <c r="G255" s="16">
        <v>4.5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6"/>
        <v>0</v>
      </c>
      <c r="R255" s="152">
        <f t="shared" si="17"/>
        <v>4.5</v>
      </c>
      <c r="S255" s="152">
        <f t="shared" si="18"/>
        <v>4.5</v>
      </c>
      <c r="T255" s="18">
        <f t="shared" si="19"/>
        <v>4.5</v>
      </c>
    </row>
    <row r="256" spans="2:20" x14ac:dyDescent="0.25">
      <c r="B256" s="117" t="s">
        <v>484</v>
      </c>
      <c r="C256" s="136" t="s">
        <v>485</v>
      </c>
      <c r="D256" s="14" t="s">
        <v>15</v>
      </c>
      <c r="E256" s="14" t="s">
        <v>16</v>
      </c>
      <c r="F256" s="15">
        <v>46055</v>
      </c>
      <c r="G256" s="16">
        <v>0.15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6"/>
        <v>0.15</v>
      </c>
      <c r="R256" s="152">
        <f t="shared" si="17"/>
        <v>0.15</v>
      </c>
      <c r="S256" s="152">
        <f t="shared" si="18"/>
        <v>0.15</v>
      </c>
      <c r="T256" s="18">
        <f t="shared" si="19"/>
        <v>0.15</v>
      </c>
    </row>
    <row r="257" spans="2:20" x14ac:dyDescent="0.25">
      <c r="B257" s="117" t="s">
        <v>776</v>
      </c>
      <c r="C257" s="136" t="s">
        <v>489</v>
      </c>
      <c r="D257" s="14" t="s">
        <v>24</v>
      </c>
      <c r="E257" s="14" t="s">
        <v>16</v>
      </c>
      <c r="F257" s="15">
        <v>46022</v>
      </c>
      <c r="G257" s="16">
        <v>0.85</v>
      </c>
      <c r="H257" s="15">
        <v>46112</v>
      </c>
      <c r="I257" s="16">
        <v>0.85</v>
      </c>
      <c r="J257" s="15"/>
      <c r="K257" s="16"/>
      <c r="L257" s="15"/>
      <c r="M257" s="63"/>
      <c r="N257" s="17"/>
      <c r="O257" s="16"/>
      <c r="P257" s="16"/>
      <c r="Q257" s="152">
        <f t="shared" si="16"/>
        <v>0.85</v>
      </c>
      <c r="R257" s="152">
        <f t="shared" si="17"/>
        <v>1.7</v>
      </c>
      <c r="S257" s="152">
        <f t="shared" si="18"/>
        <v>1.7</v>
      </c>
      <c r="T257" s="18">
        <f t="shared" si="19"/>
        <v>1.7</v>
      </c>
    </row>
    <row r="258" spans="2:20" x14ac:dyDescent="0.25">
      <c r="B258" s="117" t="s">
        <v>904</v>
      </c>
      <c r="C258" s="136" t="s">
        <v>905</v>
      </c>
      <c r="D258" s="14" t="s">
        <v>15</v>
      </c>
      <c r="E258" s="14" t="s">
        <v>200</v>
      </c>
      <c r="F258" s="15">
        <v>46136</v>
      </c>
      <c r="G258" s="16">
        <v>8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6"/>
        <v>0</v>
      </c>
      <c r="R258" s="152">
        <f t="shared" si="17"/>
        <v>8</v>
      </c>
      <c r="S258" s="152">
        <f t="shared" si="18"/>
        <v>8</v>
      </c>
      <c r="T258" s="18">
        <f t="shared" si="19"/>
        <v>8</v>
      </c>
    </row>
    <row r="259" spans="2:20" x14ac:dyDescent="0.25">
      <c r="B259" s="117" t="s">
        <v>492</v>
      </c>
      <c r="C259" s="136" t="s">
        <v>493</v>
      </c>
      <c r="D259" s="14" t="s">
        <v>15</v>
      </c>
      <c r="E259" s="14" t="s">
        <v>21</v>
      </c>
      <c r="F259" s="15">
        <v>46133</v>
      </c>
      <c r="G259" s="16">
        <f>0.55/1.176*0.9189</f>
        <v>0.4297576530612246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6"/>
        <v>0</v>
      </c>
      <c r="R259" s="152">
        <f t="shared" si="17"/>
        <v>0.4297576530612246</v>
      </c>
      <c r="S259" s="152">
        <f t="shared" si="18"/>
        <v>0.4297576530612246</v>
      </c>
      <c r="T259" s="18">
        <f t="shared" si="19"/>
        <v>0.4297576530612246</v>
      </c>
    </row>
    <row r="260" spans="2:20" x14ac:dyDescent="0.25">
      <c r="B260" s="117" t="s">
        <v>494</v>
      </c>
      <c r="C260" s="136" t="s">
        <v>495</v>
      </c>
      <c r="D260" s="14" t="s">
        <v>27</v>
      </c>
      <c r="E260" s="14" t="s">
        <v>16</v>
      </c>
      <c r="F260" s="15">
        <v>46146</v>
      </c>
      <c r="G260" s="16">
        <v>1.45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6"/>
        <v>0</v>
      </c>
      <c r="R260" s="152">
        <f t="shared" si="17"/>
        <v>1.45</v>
      </c>
      <c r="S260" s="152">
        <f t="shared" si="18"/>
        <v>1.45</v>
      </c>
      <c r="T260" s="18">
        <f t="shared" si="19"/>
        <v>1.45</v>
      </c>
    </row>
    <row r="261" spans="2:20" x14ac:dyDescent="0.25">
      <c r="B261" s="117" t="s">
        <v>496</v>
      </c>
      <c r="C261" s="136" t="s">
        <v>497</v>
      </c>
      <c r="D261" s="14" t="s">
        <v>27</v>
      </c>
      <c r="E261" s="14" t="s">
        <v>16</v>
      </c>
      <c r="F261" s="15">
        <v>46147</v>
      </c>
      <c r="G261" s="16">
        <v>0.5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6"/>
        <v>0</v>
      </c>
      <c r="R261" s="152">
        <f t="shared" si="17"/>
        <v>0.5</v>
      </c>
      <c r="S261" s="152">
        <f t="shared" si="18"/>
        <v>0.5</v>
      </c>
      <c r="T261" s="18">
        <f t="shared" si="19"/>
        <v>0.5</v>
      </c>
    </row>
    <row r="262" spans="2:20" x14ac:dyDescent="0.25">
      <c r="B262" s="117" t="s">
        <v>622</v>
      </c>
      <c r="C262" s="136" t="s">
        <v>499</v>
      </c>
      <c r="D262" s="14" t="s">
        <v>15</v>
      </c>
      <c r="E262" s="14" t="s">
        <v>16</v>
      </c>
      <c r="F262" s="15">
        <v>46157</v>
      </c>
      <c r="G262" s="16">
        <v>4.5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6"/>
        <v>0</v>
      </c>
      <c r="R262" s="152">
        <f t="shared" si="17"/>
        <v>4.5</v>
      </c>
      <c r="S262" s="152">
        <f t="shared" si="18"/>
        <v>4.5</v>
      </c>
      <c r="T262" s="18">
        <f t="shared" si="19"/>
        <v>4.5</v>
      </c>
    </row>
    <row r="263" spans="2:20" x14ac:dyDescent="0.25">
      <c r="B263" s="117" t="s">
        <v>959</v>
      </c>
      <c r="C263" s="136" t="s">
        <v>960</v>
      </c>
      <c r="D263" s="14" t="s">
        <v>941</v>
      </c>
      <c r="E263" s="14" t="s">
        <v>16</v>
      </c>
      <c r="F263" s="15">
        <v>46132</v>
      </c>
      <c r="G263" s="16">
        <v>1.7208000000000001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6"/>
        <v>0</v>
      </c>
      <c r="R263" s="152">
        <f t="shared" si="17"/>
        <v>1.7208000000000001</v>
      </c>
      <c r="S263" s="152">
        <f t="shared" si="18"/>
        <v>1.7208000000000001</v>
      </c>
      <c r="T263" s="18">
        <f t="shared" si="19"/>
        <v>1.7208000000000001</v>
      </c>
    </row>
    <row r="264" spans="2:20" x14ac:dyDescent="0.25">
      <c r="B264" s="117" t="s">
        <v>504</v>
      </c>
      <c r="C264" s="136" t="s">
        <v>970</v>
      </c>
      <c r="D264" s="14" t="s">
        <v>15</v>
      </c>
      <c r="E264" s="14" t="s">
        <v>16</v>
      </c>
      <c r="F264" s="15">
        <v>46079</v>
      </c>
      <c r="G264" s="16">
        <v>0.46639999999999998</v>
      </c>
      <c r="H264" s="15">
        <v>46156</v>
      </c>
      <c r="I264" s="16">
        <v>0.46639999999999998</v>
      </c>
      <c r="J264" s="15"/>
      <c r="K264" s="16"/>
      <c r="L264" s="15"/>
      <c r="M264" s="63"/>
      <c r="N264" s="17"/>
      <c r="O264" s="16"/>
      <c r="P264" s="16"/>
      <c r="Q264" s="152">
        <f t="shared" si="16"/>
        <v>0.46639999999999998</v>
      </c>
      <c r="R264" s="152">
        <f t="shared" si="17"/>
        <v>0.93279999999999996</v>
      </c>
      <c r="S264" s="152">
        <f t="shared" si="18"/>
        <v>0.93279999999999996</v>
      </c>
      <c r="T264" s="18">
        <f t="shared" si="19"/>
        <v>0.93279999999999996</v>
      </c>
    </row>
    <row r="265" spans="2:20" x14ac:dyDescent="0.25">
      <c r="B265" s="117" t="s">
        <v>692</v>
      </c>
      <c r="C265" s="136" t="s">
        <v>693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43"/>
      <c r="Q265" s="152">
        <f t="shared" si="16"/>
        <v>0</v>
      </c>
      <c r="R265" s="152">
        <f t="shared" si="17"/>
        <v>0</v>
      </c>
      <c r="S265" s="152">
        <f t="shared" si="18"/>
        <v>0</v>
      </c>
      <c r="T265" s="18">
        <f t="shared" si="19"/>
        <v>0</v>
      </c>
    </row>
    <row r="266" spans="2:20" x14ac:dyDescent="0.25">
      <c r="B266" s="117" t="s">
        <v>510</v>
      </c>
      <c r="C266" s="136" t="s">
        <v>511</v>
      </c>
      <c r="D266" s="14" t="s">
        <v>15</v>
      </c>
      <c r="E266" s="14" t="s">
        <v>761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6"/>
        <v>0</v>
      </c>
      <c r="R266" s="152">
        <f t="shared" si="17"/>
        <v>0</v>
      </c>
      <c r="S266" s="152">
        <f t="shared" si="18"/>
        <v>0</v>
      </c>
      <c r="T266" s="18">
        <f t="shared" si="19"/>
        <v>0</v>
      </c>
    </row>
    <row r="267" spans="2:20" x14ac:dyDescent="0.25">
      <c r="B267" s="117" t="s">
        <v>794</v>
      </c>
      <c r="C267" s="136" t="s">
        <v>795</v>
      </c>
      <c r="D267" s="14" t="s">
        <v>15</v>
      </c>
      <c r="E267" s="14" t="s">
        <v>16</v>
      </c>
      <c r="F267" s="15">
        <v>46162</v>
      </c>
      <c r="G267" s="16">
        <v>0.28000000000000003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16"/>
        <v>0</v>
      </c>
      <c r="R267" s="152">
        <f t="shared" si="17"/>
        <v>0.28000000000000003</v>
      </c>
      <c r="S267" s="152">
        <f t="shared" si="18"/>
        <v>0.28000000000000003</v>
      </c>
      <c r="T267" s="18">
        <f t="shared" si="19"/>
        <v>0.28000000000000003</v>
      </c>
    </row>
    <row r="268" spans="2:20" x14ac:dyDescent="0.25">
      <c r="B268" s="117" t="s">
        <v>512</v>
      </c>
      <c r="C268" s="136" t="s">
        <v>513</v>
      </c>
      <c r="D268" s="14" t="s">
        <v>24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ref="Q268:Q287" si="20">IF(F268&lt;=Exp26Q1,G268,0)+IF(H268&lt;=Exp26Q1,I268,0)+IF(J268&lt;=Exp26Q1,K268,0)+IF(L268&lt;=Exp26Q1,M268,0)+IF(N268&lt;=Exp26Q1,O268,0)</f>
        <v>0</v>
      </c>
      <c r="R268" s="152">
        <f t="shared" ref="R268:R287" si="21">IF(F268&lt;=Exp26H1,G268,0)+IF(H268&lt;=Exp26H1,I268,0)+IF(J268&lt;=Exp26H1,K268,0)+IF(L268&lt;=Exp26H1,M268,0)+IF(N268&lt;=Exp26H1,O268,0)</f>
        <v>0</v>
      </c>
      <c r="S268" s="152">
        <f t="shared" ref="S268:S287" si="22">IF(F268&lt;=Exp26Q3,G268,0)+IF(H268&lt;=Exp26Q3,I268,0)+IF(J268&lt;=Exp26Q3,K268,0)+IF(L268&lt;=Exp26Q3,M268,0)+IF(N268&lt;=Exp26Q3,O268,0)</f>
        <v>0</v>
      </c>
      <c r="T268" s="18">
        <f t="shared" si="19"/>
        <v>0</v>
      </c>
    </row>
    <row r="269" spans="2:20" x14ac:dyDescent="0.25">
      <c r="B269" s="117" t="s">
        <v>514</v>
      </c>
      <c r="C269" s="136" t="s">
        <v>515</v>
      </c>
      <c r="D269" s="14" t="s">
        <v>24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0"/>
        <v>0</v>
      </c>
      <c r="R269" s="152">
        <f t="shared" si="21"/>
        <v>0</v>
      </c>
      <c r="S269" s="152">
        <f t="shared" si="22"/>
        <v>0</v>
      </c>
      <c r="T269" s="18">
        <f t="shared" si="19"/>
        <v>0</v>
      </c>
    </row>
    <row r="270" spans="2:20" x14ac:dyDescent="0.25">
      <c r="B270" s="117" t="s">
        <v>908</v>
      </c>
      <c r="C270" s="136" t="s">
        <v>328</v>
      </c>
      <c r="D270" s="14" t="s">
        <v>15</v>
      </c>
      <c r="E270" s="14" t="s">
        <v>16</v>
      </c>
      <c r="F270" s="15">
        <v>46107</v>
      </c>
      <c r="G270" s="16">
        <v>0.68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0"/>
        <v>0</v>
      </c>
      <c r="R270" s="152">
        <f>IF(F270&lt;=Exp26H1,G270,0)+IF(H270&lt;=Exp26H1,I270,0)+IF(J270&lt;=Exp26H1,K270,0)+IF(L270&lt;=Exp26H1,M270,0)+IF(N270&lt;=Exp26H1,O270,0)</f>
        <v>0.68</v>
      </c>
      <c r="S270" s="152">
        <f>IF(F270&lt;=Exp26Q3,G270,0)+IF(H270&lt;=Exp26Q3,I270,0)+IF(J270&lt;=Exp26Q3,K270,0)+IF(L270&lt;=Exp26Q3,M270,0)+IF(N270&lt;=Exp26Q3,O270,0)</f>
        <v>0.68</v>
      </c>
      <c r="T270" s="18">
        <f>G270+I270+K270+M270+O270</f>
        <v>0.68</v>
      </c>
    </row>
    <row r="271" spans="2:20" x14ac:dyDescent="0.25">
      <c r="B271" s="117" t="s">
        <v>925</v>
      </c>
      <c r="C271" s="136" t="s">
        <v>926</v>
      </c>
      <c r="D271" s="14" t="s">
        <v>755</v>
      </c>
      <c r="E271" s="14" t="s">
        <v>475</v>
      </c>
      <c r="F271" s="15">
        <v>46056</v>
      </c>
      <c r="G271" s="16">
        <v>1.2090000000000001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20"/>
        <v>1.2090000000000001</v>
      </c>
      <c r="R271" s="152">
        <f t="shared" si="21"/>
        <v>1.2090000000000001</v>
      </c>
      <c r="S271" s="152">
        <f t="shared" si="22"/>
        <v>1.2090000000000001</v>
      </c>
      <c r="T271" s="18">
        <f t="shared" ref="T271:T286" si="23">G271+I271+K271+M271+O271</f>
        <v>1.2090000000000001</v>
      </c>
    </row>
    <row r="272" spans="2:20" x14ac:dyDescent="0.25">
      <c r="B272" s="117" t="s">
        <v>968</v>
      </c>
      <c r="C272" s="136" t="s">
        <v>922</v>
      </c>
      <c r="D272" s="14" t="s">
        <v>755</v>
      </c>
      <c r="E272" s="14" t="s">
        <v>475</v>
      </c>
      <c r="F272" s="15"/>
      <c r="G272" s="16"/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20"/>
        <v>0</v>
      </c>
      <c r="R272" s="152">
        <f t="shared" si="21"/>
        <v>0</v>
      </c>
      <c r="S272" s="152">
        <f t="shared" si="22"/>
        <v>0</v>
      </c>
      <c r="T272" s="18">
        <f>G272+I272+K272+M272+O272</f>
        <v>0</v>
      </c>
    </row>
    <row r="273" spans="2:20" x14ac:dyDescent="0.25">
      <c r="B273" s="117" t="s">
        <v>516</v>
      </c>
      <c r="C273" s="136" t="s">
        <v>517</v>
      </c>
      <c r="D273" s="14" t="s">
        <v>24</v>
      </c>
      <c r="E273" s="14" t="s">
        <v>16</v>
      </c>
      <c r="F273" s="15">
        <v>46153</v>
      </c>
      <c r="G273" s="16">
        <v>1.5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20"/>
        <v>0</v>
      </c>
      <c r="R273" s="152">
        <f t="shared" si="21"/>
        <v>1.5</v>
      </c>
      <c r="S273" s="152">
        <f t="shared" si="22"/>
        <v>1.5</v>
      </c>
      <c r="T273" s="18">
        <f t="shared" si="23"/>
        <v>1.5</v>
      </c>
    </row>
    <row r="274" spans="2:20" x14ac:dyDescent="0.25">
      <c r="B274" s="117" t="s">
        <v>727</v>
      </c>
      <c r="C274" s="136" t="s">
        <v>728</v>
      </c>
      <c r="D274" s="14" t="s">
        <v>24</v>
      </c>
      <c r="E274" s="14" t="s">
        <v>16</v>
      </c>
      <c r="F274" s="15">
        <v>46141</v>
      </c>
      <c r="G274" s="16">
        <v>2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0"/>
        <v>0</v>
      </c>
      <c r="R274" s="152">
        <f t="shared" si="21"/>
        <v>2</v>
      </c>
      <c r="S274" s="152">
        <f t="shared" si="22"/>
        <v>2</v>
      </c>
      <c r="T274" s="18">
        <f t="shared" si="23"/>
        <v>2</v>
      </c>
    </row>
    <row r="275" spans="2:20" x14ac:dyDescent="0.25">
      <c r="B275" s="117" t="s">
        <v>742</v>
      </c>
      <c r="C275" s="136" t="s">
        <v>743</v>
      </c>
      <c r="D275" s="14" t="s">
        <v>15</v>
      </c>
      <c r="E275" s="14" t="s">
        <v>16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0"/>
        <v>0</v>
      </c>
      <c r="R275" s="152">
        <f t="shared" si="21"/>
        <v>0</v>
      </c>
      <c r="S275" s="152">
        <f t="shared" si="22"/>
        <v>0</v>
      </c>
      <c r="T275" s="18">
        <f t="shared" si="23"/>
        <v>0</v>
      </c>
    </row>
    <row r="276" spans="2:20" x14ac:dyDescent="0.25">
      <c r="B276" s="117" t="s">
        <v>520</v>
      </c>
      <c r="C276" s="136" t="s">
        <v>521</v>
      </c>
      <c r="D276" s="14" t="s">
        <v>24</v>
      </c>
      <c r="E276" s="14" t="s">
        <v>16</v>
      </c>
      <c r="F276" s="15">
        <v>46133</v>
      </c>
      <c r="G276" s="16">
        <v>3.95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0"/>
        <v>0</v>
      </c>
      <c r="R276" s="152">
        <f t="shared" si="21"/>
        <v>3.95</v>
      </c>
      <c r="S276" s="152">
        <f t="shared" si="22"/>
        <v>3.95</v>
      </c>
      <c r="T276" s="18">
        <f t="shared" si="23"/>
        <v>3.95</v>
      </c>
    </row>
    <row r="277" spans="2:20" x14ac:dyDescent="0.25">
      <c r="B277" s="117" t="s">
        <v>526</v>
      </c>
      <c r="C277" s="136" t="s">
        <v>527</v>
      </c>
      <c r="D277" s="14" t="s">
        <v>15</v>
      </c>
      <c r="E277" s="14" t="s">
        <v>761</v>
      </c>
      <c r="F277" s="15"/>
      <c r="G277" s="16"/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20"/>
        <v>0</v>
      </c>
      <c r="R277" s="152">
        <f t="shared" si="21"/>
        <v>0</v>
      </c>
      <c r="S277" s="152">
        <f t="shared" si="22"/>
        <v>0</v>
      </c>
      <c r="T277" s="18">
        <f t="shared" si="23"/>
        <v>0</v>
      </c>
    </row>
    <row r="278" spans="2:20" x14ac:dyDescent="0.25">
      <c r="B278" s="117" t="s">
        <v>528</v>
      </c>
      <c r="C278" s="136" t="s">
        <v>529</v>
      </c>
      <c r="D278" s="14" t="s">
        <v>15</v>
      </c>
      <c r="E278" s="14" t="s">
        <v>16</v>
      </c>
      <c r="F278" s="15"/>
      <c r="G278" s="16"/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20"/>
        <v>0</v>
      </c>
      <c r="R278" s="152">
        <f t="shared" si="21"/>
        <v>0</v>
      </c>
      <c r="S278" s="152">
        <f t="shared" si="22"/>
        <v>0</v>
      </c>
      <c r="T278" s="18">
        <f t="shared" si="23"/>
        <v>0</v>
      </c>
    </row>
    <row r="279" spans="2:20" x14ac:dyDescent="0.25">
      <c r="B279" s="117" t="s">
        <v>530</v>
      </c>
      <c r="C279" s="136" t="s">
        <v>531</v>
      </c>
      <c r="D279" s="14" t="s">
        <v>15</v>
      </c>
      <c r="E279" s="14" t="s">
        <v>200</v>
      </c>
      <c r="F279" s="147">
        <v>46121</v>
      </c>
      <c r="G279" s="148">
        <f>8.5*0.986115396</f>
        <v>8.3819808659999993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0"/>
        <v>0</v>
      </c>
      <c r="R279" s="152">
        <f t="shared" si="21"/>
        <v>8.3819808659999993</v>
      </c>
      <c r="S279" s="152">
        <f t="shared" si="22"/>
        <v>8.3819808659999993</v>
      </c>
      <c r="T279" s="18">
        <f t="shared" si="23"/>
        <v>8.3819808659999993</v>
      </c>
    </row>
    <row r="280" spans="2:20" x14ac:dyDescent="0.25">
      <c r="B280" s="117" t="s">
        <v>927</v>
      </c>
      <c r="C280" s="136" t="s">
        <v>928</v>
      </c>
      <c r="D280" s="14" t="s">
        <v>15</v>
      </c>
      <c r="E280" s="14" t="s">
        <v>200</v>
      </c>
      <c r="F280" s="15"/>
      <c r="G280" s="16"/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0"/>
        <v>0</v>
      </c>
      <c r="R280" s="152">
        <f t="shared" si="21"/>
        <v>0</v>
      </c>
      <c r="S280" s="152">
        <f t="shared" si="22"/>
        <v>0</v>
      </c>
      <c r="T280" s="18">
        <f t="shared" si="23"/>
        <v>0</v>
      </c>
    </row>
    <row r="281" spans="2:20" x14ac:dyDescent="0.25">
      <c r="B281" s="117" t="s">
        <v>532</v>
      </c>
      <c r="C281" s="136" t="s">
        <v>533</v>
      </c>
      <c r="D281" s="14" t="s">
        <v>15</v>
      </c>
      <c r="E281" s="14" t="s">
        <v>16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0"/>
        <v>0</v>
      </c>
      <c r="R281" s="152">
        <f t="shared" si="21"/>
        <v>0</v>
      </c>
      <c r="S281" s="152">
        <f t="shared" si="22"/>
        <v>0</v>
      </c>
      <c r="T281" s="18">
        <f t="shared" si="23"/>
        <v>0</v>
      </c>
    </row>
    <row r="282" spans="2:20" x14ac:dyDescent="0.25">
      <c r="B282" s="117" t="s">
        <v>534</v>
      </c>
      <c r="C282" s="136" t="s">
        <v>535</v>
      </c>
      <c r="D282" s="14" t="s">
        <v>15</v>
      </c>
      <c r="E282" s="14" t="s">
        <v>16</v>
      </c>
      <c r="F282" s="15">
        <v>46136</v>
      </c>
      <c r="G282" s="16">
        <v>1.8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0"/>
        <v>0</v>
      </c>
      <c r="R282" s="152">
        <f t="shared" si="21"/>
        <v>1.8</v>
      </c>
      <c r="S282" s="152">
        <f t="shared" si="22"/>
        <v>1.8</v>
      </c>
      <c r="T282" s="18">
        <f t="shared" si="23"/>
        <v>1.8</v>
      </c>
    </row>
    <row r="283" spans="2:20" x14ac:dyDescent="0.25">
      <c r="B283" s="117" t="s">
        <v>744</v>
      </c>
      <c r="C283" s="136" t="s">
        <v>745</v>
      </c>
      <c r="D283" s="14" t="s">
        <v>15</v>
      </c>
      <c r="E283" s="14" t="s">
        <v>16</v>
      </c>
      <c r="F283" s="15">
        <v>46154</v>
      </c>
      <c r="G283" s="16">
        <v>0.95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0"/>
        <v>0</v>
      </c>
      <c r="R283" s="152">
        <f t="shared" si="21"/>
        <v>0.95</v>
      </c>
      <c r="S283" s="152">
        <f t="shared" si="22"/>
        <v>0.95</v>
      </c>
      <c r="T283" s="18">
        <f t="shared" si="23"/>
        <v>0.95</v>
      </c>
    </row>
    <row r="284" spans="2:20" x14ac:dyDescent="0.25">
      <c r="B284" s="117" t="s">
        <v>542</v>
      </c>
      <c r="C284" s="136" t="s">
        <v>543</v>
      </c>
      <c r="D284" s="14" t="s">
        <v>15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0"/>
        <v>0</v>
      </c>
      <c r="R284" s="152">
        <f t="shared" si="21"/>
        <v>0</v>
      </c>
      <c r="S284" s="152">
        <f t="shared" si="22"/>
        <v>0</v>
      </c>
      <c r="T284" s="18">
        <f t="shared" si="23"/>
        <v>0</v>
      </c>
    </row>
    <row r="285" spans="2:20" x14ac:dyDescent="0.25">
      <c r="B285" s="117" t="s">
        <v>544</v>
      </c>
      <c r="C285" s="136" t="s">
        <v>545</v>
      </c>
      <c r="D285" s="14" t="s">
        <v>15</v>
      </c>
      <c r="E285" s="14" t="s">
        <v>761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20"/>
        <v>0</v>
      </c>
      <c r="R285" s="152">
        <f t="shared" si="21"/>
        <v>0</v>
      </c>
      <c r="S285" s="152">
        <f t="shared" si="22"/>
        <v>0</v>
      </c>
      <c r="T285" s="18">
        <f t="shared" si="23"/>
        <v>0</v>
      </c>
    </row>
    <row r="286" spans="2:20" x14ac:dyDescent="0.25">
      <c r="B286" s="117" t="s">
        <v>769</v>
      </c>
      <c r="C286" s="136" t="s">
        <v>770</v>
      </c>
      <c r="D286" s="14" t="s">
        <v>755</v>
      </c>
      <c r="E286" s="14" t="s">
        <v>475</v>
      </c>
      <c r="F286" s="15">
        <v>46155</v>
      </c>
      <c r="G286" s="16">
        <v>22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20"/>
        <v>0</v>
      </c>
      <c r="R286" s="152">
        <f t="shared" si="21"/>
        <v>22</v>
      </c>
      <c r="S286" s="152">
        <f t="shared" si="22"/>
        <v>22</v>
      </c>
      <c r="T286" s="18">
        <f t="shared" si="23"/>
        <v>22</v>
      </c>
    </row>
    <row r="287" spans="2:20" x14ac:dyDescent="0.25">
      <c r="B287" s="117" t="s">
        <v>548</v>
      </c>
      <c r="C287" s="136" t="s">
        <v>549</v>
      </c>
      <c r="D287" s="14" t="s">
        <v>15</v>
      </c>
      <c r="E287" s="14" t="s">
        <v>21</v>
      </c>
      <c r="F287" s="15">
        <v>46122</v>
      </c>
      <c r="G287" s="16">
        <v>30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0"/>
        <v>0</v>
      </c>
      <c r="R287" s="152">
        <f t="shared" si="21"/>
        <v>30</v>
      </c>
      <c r="S287" s="152">
        <f t="shared" si="22"/>
        <v>30</v>
      </c>
      <c r="T287" s="18">
        <f>G287+I287+K287+M287+O287</f>
        <v>30</v>
      </c>
    </row>
    <row r="288" spans="2:20" x14ac:dyDescent="0.25">
      <c r="B288" s="134" t="s">
        <v>557</v>
      </c>
      <c r="C288" s="135" t="s">
        <v>584</v>
      </c>
      <c r="D288" s="135" t="s">
        <v>55</v>
      </c>
      <c r="E288" s="22" t="s">
        <v>56</v>
      </c>
      <c r="F288" s="23">
        <v>46066</v>
      </c>
      <c r="G288" s="24">
        <v>0.78</v>
      </c>
      <c r="H288" s="23"/>
      <c r="I288" s="24"/>
      <c r="J288" s="23"/>
      <c r="K288" s="24"/>
      <c r="L288" s="23"/>
      <c r="M288" s="24"/>
      <c r="N288" s="25"/>
      <c r="O288" s="24"/>
      <c r="P288" s="24"/>
      <c r="Q288" s="24"/>
      <c r="R288" s="24"/>
      <c r="S288" s="24"/>
      <c r="T288" s="26">
        <f>G288+I288+K288+M288+O288</f>
        <v>0.78</v>
      </c>
    </row>
    <row r="289" spans="2:20" x14ac:dyDescent="0.25">
      <c r="B289" s="134" t="s">
        <v>563</v>
      </c>
      <c r="C289" s="135" t="s">
        <v>590</v>
      </c>
      <c r="D289" s="135" t="s">
        <v>55</v>
      </c>
      <c r="E289" s="22" t="s">
        <v>56</v>
      </c>
      <c r="F289" s="23">
        <v>46127</v>
      </c>
      <c r="G289" s="24">
        <v>1.73</v>
      </c>
      <c r="H289" s="23"/>
      <c r="I289" s="24"/>
      <c r="J289" s="23"/>
      <c r="K289" s="24"/>
      <c r="L289" s="23"/>
      <c r="M289" s="24"/>
      <c r="N289" s="25"/>
      <c r="O289" s="24"/>
      <c r="P289" s="24"/>
      <c r="Q289" s="24"/>
      <c r="R289" s="24"/>
      <c r="S289" s="24"/>
      <c r="T289" s="26">
        <f t="shared" ref="T289:T343" si="24">G289+I289+K289+M289+O289</f>
        <v>1.73</v>
      </c>
    </row>
    <row r="290" spans="2:20" x14ac:dyDescent="0.25">
      <c r="B290" s="134" t="s">
        <v>554</v>
      </c>
      <c r="C290" s="135" t="s">
        <v>581</v>
      </c>
      <c r="D290" s="135" t="s">
        <v>55</v>
      </c>
      <c r="E290" s="22" t="s">
        <v>56</v>
      </c>
      <c r="F290" s="23">
        <v>46106</v>
      </c>
      <c r="G290" s="24">
        <v>1.06</v>
      </c>
      <c r="H290" s="23"/>
      <c r="I290" s="24"/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 t="shared" si="24"/>
        <v>1.06</v>
      </c>
    </row>
    <row r="291" spans="2:20" x14ac:dyDescent="0.25">
      <c r="B291" s="134" t="s">
        <v>53</v>
      </c>
      <c r="C291" s="137" t="s">
        <v>54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24"/>
        <v>0</v>
      </c>
    </row>
    <row r="292" spans="2:20" x14ac:dyDescent="0.25">
      <c r="B292" s="134" t="s">
        <v>556</v>
      </c>
      <c r="C292" s="137" t="s">
        <v>583</v>
      </c>
      <c r="D292" s="135" t="s">
        <v>55</v>
      </c>
      <c r="E292" s="22" t="s">
        <v>56</v>
      </c>
      <c r="F292" s="23">
        <v>46066</v>
      </c>
      <c r="G292" s="24">
        <v>2.52</v>
      </c>
      <c r="H292" s="23">
        <v>46157</v>
      </c>
      <c r="I292" s="24">
        <v>2.52</v>
      </c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4"/>
        <v>5.04</v>
      </c>
    </row>
    <row r="293" spans="2:20" x14ac:dyDescent="0.25">
      <c r="B293" s="134" t="s">
        <v>61</v>
      </c>
      <c r="C293" s="137" t="s">
        <v>62</v>
      </c>
      <c r="D293" s="135" t="s">
        <v>55</v>
      </c>
      <c r="E293" s="22" t="s">
        <v>56</v>
      </c>
      <c r="F293" s="23">
        <v>46062</v>
      </c>
      <c r="G293" s="24">
        <v>0.26</v>
      </c>
      <c r="H293" s="23">
        <v>46153</v>
      </c>
      <c r="I293" s="24">
        <v>0.27</v>
      </c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4"/>
        <v>0.53</v>
      </c>
    </row>
    <row r="294" spans="2:20" x14ac:dyDescent="0.25">
      <c r="B294" s="134" t="s">
        <v>71</v>
      </c>
      <c r="C294" s="137" t="s">
        <v>72</v>
      </c>
      <c r="D294" s="135" t="s">
        <v>55</v>
      </c>
      <c r="E294" s="22" t="s">
        <v>56</v>
      </c>
      <c r="F294" s="23">
        <v>46122</v>
      </c>
      <c r="G294" s="24">
        <v>0.27750000000000002</v>
      </c>
      <c r="H294" s="23"/>
      <c r="I294" s="24"/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4"/>
        <v>0.27750000000000002</v>
      </c>
    </row>
    <row r="295" spans="2:20" x14ac:dyDescent="0.25">
      <c r="B295" s="134" t="s">
        <v>112</v>
      </c>
      <c r="C295" s="137" t="s">
        <v>113</v>
      </c>
      <c r="D295" s="135" t="s">
        <v>55</v>
      </c>
      <c r="E295" s="22" t="s">
        <v>56</v>
      </c>
      <c r="F295" s="23">
        <v>46087</v>
      </c>
      <c r="G295" s="24">
        <v>0.28000000000000003</v>
      </c>
      <c r="H295" s="23"/>
      <c r="I295" s="24"/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4"/>
        <v>0.28000000000000003</v>
      </c>
    </row>
    <row r="296" spans="2:20" x14ac:dyDescent="0.25">
      <c r="B296" s="134" t="s">
        <v>564</v>
      </c>
      <c r="C296" s="137" t="s">
        <v>591</v>
      </c>
      <c r="D296" s="135" t="s">
        <v>55</v>
      </c>
      <c r="E296" s="22" t="s">
        <v>56</v>
      </c>
      <c r="F296" s="23"/>
      <c r="G296" s="24"/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4"/>
        <v>0</v>
      </c>
    </row>
    <row r="297" spans="2:20" x14ac:dyDescent="0.25">
      <c r="B297" s="134" t="s">
        <v>566</v>
      </c>
      <c r="C297" s="137" t="s">
        <v>593</v>
      </c>
      <c r="D297" s="135" t="s">
        <v>55</v>
      </c>
      <c r="E297" s="22" t="s">
        <v>56</v>
      </c>
      <c r="F297" s="23">
        <v>46114</v>
      </c>
      <c r="G297" s="24">
        <v>0.63</v>
      </c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4"/>
        <v>0.63</v>
      </c>
    </row>
    <row r="298" spans="2:20" x14ac:dyDescent="0.25">
      <c r="B298" s="134" t="s">
        <v>568</v>
      </c>
      <c r="C298" s="137" t="s">
        <v>595</v>
      </c>
      <c r="D298" s="135" t="s">
        <v>55</v>
      </c>
      <c r="E298" s="22" t="s">
        <v>56</v>
      </c>
      <c r="F298" s="23">
        <v>46104</v>
      </c>
      <c r="G298" s="24">
        <v>0.65</v>
      </c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4"/>
        <v>0.65</v>
      </c>
    </row>
    <row r="299" spans="2:20" x14ac:dyDescent="0.25">
      <c r="B299" s="134" t="s">
        <v>141</v>
      </c>
      <c r="C299" s="137" t="s">
        <v>142</v>
      </c>
      <c r="D299" s="135" t="s">
        <v>55</v>
      </c>
      <c r="E299" s="22" t="s">
        <v>56</v>
      </c>
      <c r="F299" s="23">
        <v>46070</v>
      </c>
      <c r="G299" s="24">
        <v>1.78</v>
      </c>
      <c r="H299" s="23">
        <v>46161</v>
      </c>
      <c r="I299" s="24">
        <v>1.78</v>
      </c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4"/>
        <v>3.56</v>
      </c>
    </row>
    <row r="300" spans="2:20" x14ac:dyDescent="0.25">
      <c r="B300" s="134" t="s">
        <v>143</v>
      </c>
      <c r="C300" s="137" t="s">
        <v>144</v>
      </c>
      <c r="D300" s="135" t="s">
        <v>55</v>
      </c>
      <c r="E300" s="22" t="s">
        <v>56</v>
      </c>
      <c r="F300" s="23">
        <v>46114</v>
      </c>
      <c r="G300" s="24">
        <v>0.42</v>
      </c>
      <c r="H300" s="23"/>
      <c r="I300" s="24"/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4"/>
        <v>0.42</v>
      </c>
    </row>
    <row r="301" spans="2:20" x14ac:dyDescent="0.25">
      <c r="B301" s="134" t="s">
        <v>145</v>
      </c>
      <c r="C301" s="137" t="s">
        <v>146</v>
      </c>
      <c r="D301" s="135" t="s">
        <v>55</v>
      </c>
      <c r="E301" s="22" t="s">
        <v>56</v>
      </c>
      <c r="F301" s="23">
        <v>46055</v>
      </c>
      <c r="G301" s="24">
        <v>0.6</v>
      </c>
      <c r="H301" s="23">
        <v>46146</v>
      </c>
      <c r="I301" s="24">
        <v>0.6</v>
      </c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4"/>
        <v>1.2</v>
      </c>
    </row>
    <row r="302" spans="2:20" x14ac:dyDescent="0.25">
      <c r="B302" s="134" t="s">
        <v>147</v>
      </c>
      <c r="C302" s="137" t="s">
        <v>148</v>
      </c>
      <c r="D302" s="135" t="s">
        <v>55</v>
      </c>
      <c r="E302" s="22" t="s">
        <v>56</v>
      </c>
      <c r="F302" s="153">
        <v>46091</v>
      </c>
      <c r="G302" s="154">
        <f>1.3*0.9806476</f>
        <v>1.2748418799999999</v>
      </c>
      <c r="H302" s="23"/>
      <c r="I302" s="24"/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4"/>
        <v>1.2748418799999999</v>
      </c>
    </row>
    <row r="303" spans="2:20" x14ac:dyDescent="0.25">
      <c r="B303" s="134" t="s">
        <v>149</v>
      </c>
      <c r="C303" s="137" t="s">
        <v>150</v>
      </c>
      <c r="D303" s="135" t="s">
        <v>55</v>
      </c>
      <c r="E303" s="22" t="s">
        <v>56</v>
      </c>
      <c r="F303" s="23">
        <v>46094</v>
      </c>
      <c r="G303" s="24">
        <v>0.53</v>
      </c>
      <c r="H303" s="23"/>
      <c r="I303" s="24"/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4"/>
        <v>0.53</v>
      </c>
    </row>
    <row r="304" spans="2:20" x14ac:dyDescent="0.25">
      <c r="B304" s="134" t="s">
        <v>550</v>
      </c>
      <c r="C304" s="137" t="s">
        <v>155</v>
      </c>
      <c r="D304" s="135" t="s">
        <v>55</v>
      </c>
      <c r="E304" s="22" t="s">
        <v>56</v>
      </c>
      <c r="F304" s="23">
        <v>46113</v>
      </c>
      <c r="G304" s="24">
        <v>0.33</v>
      </c>
      <c r="H304" s="23"/>
      <c r="I304" s="24"/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4"/>
        <v>0.33</v>
      </c>
    </row>
    <row r="305" spans="1:21" x14ac:dyDescent="0.25">
      <c r="B305" s="134" t="s">
        <v>577</v>
      </c>
      <c r="C305" s="137" t="s">
        <v>604</v>
      </c>
      <c r="D305" s="135" t="s">
        <v>55</v>
      </c>
      <c r="E305" s="22" t="s">
        <v>56</v>
      </c>
      <c r="F305" s="23">
        <v>46044</v>
      </c>
      <c r="G305" s="24">
        <v>0.66500000000000004</v>
      </c>
      <c r="H305" s="23">
        <v>46135</v>
      </c>
      <c r="I305" s="24">
        <v>0.66500000000000004</v>
      </c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4"/>
        <v>1.33</v>
      </c>
    </row>
    <row r="306" spans="1:21" x14ac:dyDescent="0.25">
      <c r="B306" s="134" t="s">
        <v>192</v>
      </c>
      <c r="C306" s="137" t="s">
        <v>193</v>
      </c>
      <c r="D306" s="135" t="s">
        <v>55</v>
      </c>
      <c r="E306" s="22" t="s">
        <v>56</v>
      </c>
      <c r="F306" s="23">
        <v>46066</v>
      </c>
      <c r="G306" s="24">
        <v>1.0649999999999999</v>
      </c>
      <c r="H306" s="23">
        <v>46157</v>
      </c>
      <c r="I306" s="24">
        <v>1.0649999999999999</v>
      </c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4"/>
        <v>2.13</v>
      </c>
    </row>
    <row r="307" spans="1:21" x14ac:dyDescent="0.25">
      <c r="B307" s="134" t="s">
        <v>575</v>
      </c>
      <c r="C307" s="137" t="s">
        <v>602</v>
      </c>
      <c r="D307" s="135" t="s">
        <v>55</v>
      </c>
      <c r="E307" s="22" t="s">
        <v>56</v>
      </c>
      <c r="F307" s="23">
        <v>46066</v>
      </c>
      <c r="G307" s="24">
        <v>1.73</v>
      </c>
      <c r="H307" s="23">
        <v>46157</v>
      </c>
      <c r="I307" s="24">
        <v>1.73</v>
      </c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4"/>
        <v>3.46</v>
      </c>
    </row>
    <row r="308" spans="1:21" x14ac:dyDescent="0.25">
      <c r="A308" s="33"/>
      <c r="B308" s="134" t="s">
        <v>223</v>
      </c>
      <c r="C308" s="137" t="s">
        <v>224</v>
      </c>
      <c r="D308" s="135" t="s">
        <v>55</v>
      </c>
      <c r="E308" s="22" t="s">
        <v>56</v>
      </c>
      <c r="F308" s="23">
        <v>46065</v>
      </c>
      <c r="G308" s="24">
        <v>1.03</v>
      </c>
      <c r="H308" s="23">
        <v>46157</v>
      </c>
      <c r="I308" s="24">
        <v>1.03</v>
      </c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4"/>
        <v>2.06</v>
      </c>
      <c r="U308" s="36"/>
    </row>
    <row r="309" spans="1:21" x14ac:dyDescent="0.25">
      <c r="A309" s="33"/>
      <c r="B309" s="134" t="s">
        <v>227</v>
      </c>
      <c r="C309" s="137" t="s">
        <v>228</v>
      </c>
      <c r="D309" s="135" t="s">
        <v>55</v>
      </c>
      <c r="E309" s="22" t="s">
        <v>56</v>
      </c>
      <c r="F309" s="23">
        <v>46066</v>
      </c>
      <c r="G309" s="24">
        <v>0.15</v>
      </c>
      <c r="H309" s="23">
        <v>46154</v>
      </c>
      <c r="I309" s="24">
        <v>0.15</v>
      </c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4"/>
        <v>0.3</v>
      </c>
      <c r="U309" s="36"/>
    </row>
    <row r="310" spans="1:21" x14ac:dyDescent="0.25">
      <c r="B310" s="134" t="s">
        <v>961</v>
      </c>
      <c r="C310" s="137" t="s">
        <v>241</v>
      </c>
      <c r="D310" s="135" t="s">
        <v>55</v>
      </c>
      <c r="E310" s="22" t="s">
        <v>56</v>
      </c>
      <c r="F310" s="23">
        <v>46090</v>
      </c>
      <c r="G310" s="24">
        <v>0.47</v>
      </c>
      <c r="H310" s="23"/>
      <c r="I310" s="24"/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4"/>
        <v>0.47</v>
      </c>
    </row>
    <row r="311" spans="1:21" x14ac:dyDescent="0.25">
      <c r="B311" s="134" t="s">
        <v>246</v>
      </c>
      <c r="C311" s="137" t="s">
        <v>247</v>
      </c>
      <c r="D311" s="135" t="s">
        <v>55</v>
      </c>
      <c r="E311" s="22" t="s">
        <v>56</v>
      </c>
      <c r="F311" s="23">
        <v>46087</v>
      </c>
      <c r="G311" s="24">
        <v>0.18</v>
      </c>
      <c r="H311" s="23"/>
      <c r="I311" s="24"/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4"/>
        <v>0.18</v>
      </c>
    </row>
    <row r="312" spans="1:21" x14ac:dyDescent="0.25">
      <c r="B312" s="134" t="s">
        <v>567</v>
      </c>
      <c r="C312" s="137" t="s">
        <v>594</v>
      </c>
      <c r="D312" s="135" t="s">
        <v>55</v>
      </c>
      <c r="E312" s="22" t="s">
        <v>56</v>
      </c>
      <c r="F312" s="23">
        <v>46094</v>
      </c>
      <c r="G312" s="24">
        <v>0.82</v>
      </c>
      <c r="H312" s="23"/>
      <c r="I312" s="24"/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4"/>
        <v>0.82</v>
      </c>
    </row>
    <row r="313" spans="1:21" x14ac:dyDescent="0.25">
      <c r="B313" s="134" t="s">
        <v>570</v>
      </c>
      <c r="C313" s="137" t="s">
        <v>597</v>
      </c>
      <c r="D313" s="135" t="s">
        <v>55</v>
      </c>
      <c r="E313" s="22" t="s">
        <v>56</v>
      </c>
      <c r="F313" s="23">
        <v>46083</v>
      </c>
      <c r="G313" s="24">
        <v>4.5</v>
      </c>
      <c r="H313" s="23"/>
      <c r="I313" s="24"/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4"/>
        <v>4.5</v>
      </c>
    </row>
    <row r="314" spans="1:21" x14ac:dyDescent="0.25">
      <c r="B314" s="134" t="s">
        <v>262</v>
      </c>
      <c r="C314" s="137" t="s">
        <v>263</v>
      </c>
      <c r="D314" s="135" t="s">
        <v>55</v>
      </c>
      <c r="E314" s="22" t="s">
        <v>56</v>
      </c>
      <c r="F314" s="23">
        <v>46093</v>
      </c>
      <c r="G314" s="24">
        <v>2.33</v>
      </c>
      <c r="H314" s="23"/>
      <c r="I314" s="24"/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4"/>
        <v>2.33</v>
      </c>
    </row>
    <row r="315" spans="1:21" x14ac:dyDescent="0.25">
      <c r="B315" s="134" t="s">
        <v>683</v>
      </c>
      <c r="C315" s="137" t="s">
        <v>592</v>
      </c>
      <c r="D315" s="135" t="s">
        <v>55</v>
      </c>
      <c r="E315" s="22" t="s">
        <v>56</v>
      </c>
      <c r="F315" s="23">
        <v>46080</v>
      </c>
      <c r="G315" s="24">
        <v>1.19</v>
      </c>
      <c r="H315" s="23">
        <v>46157</v>
      </c>
      <c r="I315" s="24">
        <v>1.19</v>
      </c>
      <c r="J315" s="23"/>
      <c r="K315" s="24"/>
      <c r="L315" s="23"/>
      <c r="M315" s="24"/>
      <c r="N315" s="25"/>
      <c r="O315" s="24"/>
      <c r="P315" s="24"/>
      <c r="Q315" s="24"/>
      <c r="R315" s="24"/>
      <c r="S315" s="24"/>
      <c r="T315" s="26">
        <f t="shared" si="24"/>
        <v>2.38</v>
      </c>
    </row>
    <row r="316" spans="1:21" x14ac:dyDescent="0.25">
      <c r="B316" s="134" t="s">
        <v>553</v>
      </c>
      <c r="C316" s="137" t="s">
        <v>580</v>
      </c>
      <c r="D316" s="135" t="s">
        <v>55</v>
      </c>
      <c r="E316" s="22" t="s">
        <v>56</v>
      </c>
      <c r="F316" s="23">
        <v>46063</v>
      </c>
      <c r="G316" s="24">
        <v>1.68</v>
      </c>
      <c r="H316" s="23">
        <v>46150</v>
      </c>
      <c r="I316" s="24">
        <v>1.69</v>
      </c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4"/>
        <v>3.37</v>
      </c>
    </row>
    <row r="317" spans="1:21" x14ac:dyDescent="0.25">
      <c r="B317" s="134" t="s">
        <v>612</v>
      </c>
      <c r="C317" s="137" t="s">
        <v>275</v>
      </c>
      <c r="D317" s="135" t="s">
        <v>55</v>
      </c>
      <c r="E317" s="22" t="s">
        <v>56</v>
      </c>
      <c r="F317" s="23"/>
      <c r="G317" s="24"/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4"/>
        <v>0</v>
      </c>
    </row>
    <row r="318" spans="1:21" x14ac:dyDescent="0.25">
      <c r="A318" s="33"/>
      <c r="B318" s="134" t="s">
        <v>280</v>
      </c>
      <c r="C318" s="137" t="s">
        <v>281</v>
      </c>
      <c r="D318" s="135" t="s">
        <v>55</v>
      </c>
      <c r="E318" s="22" t="s">
        <v>56</v>
      </c>
      <c r="F318" s="23">
        <v>46077</v>
      </c>
      <c r="G318" s="24">
        <v>1.3</v>
      </c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4"/>
        <v>1.3</v>
      </c>
      <c r="U318" s="36"/>
    </row>
    <row r="319" spans="1:21" x14ac:dyDescent="0.25">
      <c r="B319" s="134" t="s">
        <v>282</v>
      </c>
      <c r="C319" s="137" t="s">
        <v>283</v>
      </c>
      <c r="D319" s="135" t="s">
        <v>55</v>
      </c>
      <c r="E319" s="22" t="s">
        <v>56</v>
      </c>
      <c r="F319" s="23">
        <v>46118</v>
      </c>
      <c r="G319" s="24">
        <v>1.5</v>
      </c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4"/>
        <v>1.5</v>
      </c>
    </row>
    <row r="320" spans="1:21" x14ac:dyDescent="0.25">
      <c r="B320" s="134" t="s">
        <v>562</v>
      </c>
      <c r="C320" s="137" t="s">
        <v>589</v>
      </c>
      <c r="D320" s="135" t="s">
        <v>55</v>
      </c>
      <c r="E320" s="22" t="s">
        <v>56</v>
      </c>
      <c r="F320" s="23">
        <v>46121</v>
      </c>
      <c r="G320" s="24">
        <v>0.87</v>
      </c>
      <c r="H320" s="23"/>
      <c r="I320" s="24"/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4"/>
        <v>0.87</v>
      </c>
    </row>
    <row r="321" spans="2:20" x14ac:dyDescent="0.25">
      <c r="B321" s="134" t="s">
        <v>561</v>
      </c>
      <c r="C321" s="137" t="s">
        <v>588</v>
      </c>
      <c r="D321" s="135" t="s">
        <v>55</v>
      </c>
      <c r="E321" s="22" t="s">
        <v>56</v>
      </c>
      <c r="F321" s="23">
        <v>46084</v>
      </c>
      <c r="G321" s="24">
        <v>1.86</v>
      </c>
      <c r="H321" s="23"/>
      <c r="I321" s="24"/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4"/>
        <v>1.86</v>
      </c>
    </row>
    <row r="322" spans="2:20" x14ac:dyDescent="0.25">
      <c r="B322" s="134" t="s">
        <v>558</v>
      </c>
      <c r="C322" s="137" t="s">
        <v>585</v>
      </c>
      <c r="D322" s="135" t="s">
        <v>55</v>
      </c>
      <c r="E322" s="22" t="s">
        <v>56</v>
      </c>
      <c r="F322" s="23">
        <v>46108</v>
      </c>
      <c r="G322" s="24">
        <v>0.71</v>
      </c>
      <c r="H322" s="23"/>
      <c r="I322" s="24"/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4"/>
        <v>0.71</v>
      </c>
    </row>
    <row r="323" spans="2:20" x14ac:dyDescent="0.25">
      <c r="B323" s="134" t="s">
        <v>324</v>
      </c>
      <c r="C323" s="137" t="s">
        <v>325</v>
      </c>
      <c r="D323" s="135" t="s">
        <v>55</v>
      </c>
      <c r="E323" s="22" t="s">
        <v>56</v>
      </c>
      <c r="F323" s="23">
        <v>46097</v>
      </c>
      <c r="G323" s="24">
        <v>0.85</v>
      </c>
      <c r="H323" s="23"/>
      <c r="I323" s="24"/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4"/>
        <v>0.85</v>
      </c>
    </row>
    <row r="324" spans="2:20" x14ac:dyDescent="0.25">
      <c r="B324" s="134" t="s">
        <v>331</v>
      </c>
      <c r="C324" s="137" t="s">
        <v>332</v>
      </c>
      <c r="D324" s="135" t="s">
        <v>55</v>
      </c>
      <c r="E324" s="22" t="s">
        <v>56</v>
      </c>
      <c r="F324" s="23">
        <v>46072</v>
      </c>
      <c r="G324" s="24">
        <v>0.91</v>
      </c>
      <c r="H324" s="23">
        <v>46163</v>
      </c>
      <c r="I324" s="24">
        <v>0.91</v>
      </c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4"/>
        <v>1.82</v>
      </c>
    </row>
    <row r="325" spans="2:20" x14ac:dyDescent="0.25">
      <c r="B325" s="134" t="s">
        <v>555</v>
      </c>
      <c r="C325" s="137" t="s">
        <v>582</v>
      </c>
      <c r="D325" s="138" t="s">
        <v>55</v>
      </c>
      <c r="E325" s="68" t="s">
        <v>56</v>
      </c>
      <c r="F325" s="23">
        <v>46121</v>
      </c>
      <c r="G325" s="24">
        <v>0.5</v>
      </c>
      <c r="H325" s="23"/>
      <c r="I325" s="24"/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4"/>
        <v>0.5</v>
      </c>
    </row>
    <row r="326" spans="2:20" x14ac:dyDescent="0.25">
      <c r="B326" s="134" t="s">
        <v>551</v>
      </c>
      <c r="C326" s="137" t="s">
        <v>578</v>
      </c>
      <c r="D326" s="135" t="s">
        <v>55</v>
      </c>
      <c r="E326" s="22" t="s">
        <v>56</v>
      </c>
      <c r="F326" s="23">
        <v>46087</v>
      </c>
      <c r="G326" s="24">
        <v>1.4225000000000001</v>
      </c>
      <c r="H326" s="23"/>
      <c r="I326" s="24"/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4"/>
        <v>1.4225000000000001</v>
      </c>
    </row>
    <row r="327" spans="2:20" x14ac:dyDescent="0.25">
      <c r="B327" s="134" t="s">
        <v>363</v>
      </c>
      <c r="C327" s="137" t="s">
        <v>364</v>
      </c>
      <c r="D327" s="135" t="s">
        <v>55</v>
      </c>
      <c r="E327" s="22" t="s">
        <v>56</v>
      </c>
      <c r="F327" s="23">
        <v>46045</v>
      </c>
      <c r="G327" s="24">
        <v>0.43</v>
      </c>
      <c r="H327" s="23">
        <v>46150</v>
      </c>
      <c r="I327" s="24">
        <v>0.43</v>
      </c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4"/>
        <v>0.86</v>
      </c>
    </row>
    <row r="328" spans="2:20" x14ac:dyDescent="0.25">
      <c r="B328" s="134" t="s">
        <v>606</v>
      </c>
      <c r="C328" s="137" t="s">
        <v>365</v>
      </c>
      <c r="D328" s="135" t="s">
        <v>55</v>
      </c>
      <c r="E328" s="22" t="s">
        <v>56</v>
      </c>
      <c r="F328" s="23">
        <v>46100</v>
      </c>
      <c r="G328" s="24">
        <v>1.47</v>
      </c>
      <c r="H328" s="23"/>
      <c r="I328" s="24"/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4"/>
        <v>1.47</v>
      </c>
    </row>
    <row r="329" spans="2:20" x14ac:dyDescent="0.25">
      <c r="B329" s="134" t="s">
        <v>355</v>
      </c>
      <c r="C329" s="137" t="s">
        <v>356</v>
      </c>
      <c r="D329" s="135" t="s">
        <v>55</v>
      </c>
      <c r="E329" s="22" t="s">
        <v>56</v>
      </c>
      <c r="F329" s="23">
        <v>46045</v>
      </c>
      <c r="G329" s="24">
        <v>1.0568</v>
      </c>
      <c r="H329" s="23">
        <v>46136</v>
      </c>
      <c r="I329" s="24">
        <v>1.0885</v>
      </c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4"/>
        <v>2.1452999999999998</v>
      </c>
    </row>
    <row r="330" spans="2:20" x14ac:dyDescent="0.25">
      <c r="B330" s="134" t="s">
        <v>572</v>
      </c>
      <c r="C330" s="137" t="s">
        <v>599</v>
      </c>
      <c r="D330" s="135" t="s">
        <v>55</v>
      </c>
      <c r="E330" s="22" t="s">
        <v>56</v>
      </c>
      <c r="F330" s="23">
        <v>46086</v>
      </c>
      <c r="G330" s="24">
        <v>0.89</v>
      </c>
      <c r="H330" s="23"/>
      <c r="I330" s="24"/>
      <c r="J330" s="23"/>
      <c r="K330" s="24"/>
      <c r="L330" s="23"/>
      <c r="M330" s="24"/>
      <c r="N330" s="25"/>
      <c r="O330" s="24"/>
      <c r="P330" s="140"/>
      <c r="Q330" s="140"/>
      <c r="R330" s="140"/>
      <c r="S330" s="140"/>
      <c r="T330" s="26">
        <f t="shared" si="24"/>
        <v>0.89</v>
      </c>
    </row>
    <row r="331" spans="2:20" x14ac:dyDescent="0.2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46072</v>
      </c>
      <c r="G331" s="24">
        <v>0.68</v>
      </c>
      <c r="H331" s="23"/>
      <c r="I331" s="24"/>
      <c r="J331" s="23"/>
      <c r="K331" s="24"/>
      <c r="L331" s="23"/>
      <c r="M331" s="24"/>
      <c r="N331" s="25"/>
      <c r="O331" s="24"/>
      <c r="P331" s="24"/>
      <c r="Q331" s="24"/>
      <c r="R331" s="24"/>
      <c r="S331" s="24"/>
      <c r="T331" s="26">
        <f t="shared" si="24"/>
        <v>0.68</v>
      </c>
    </row>
    <row r="332" spans="2:20" x14ac:dyDescent="0.25">
      <c r="B332" s="134" t="s">
        <v>559</v>
      </c>
      <c r="C332" s="137" t="s">
        <v>586</v>
      </c>
      <c r="D332" s="135" t="s">
        <v>55</v>
      </c>
      <c r="E332" s="22" t="s">
        <v>56</v>
      </c>
      <c r="F332" s="23">
        <v>46064</v>
      </c>
      <c r="G332" s="24">
        <v>0.29499999999999998</v>
      </c>
      <c r="H332" s="23"/>
      <c r="I332" s="24"/>
      <c r="J332" s="23"/>
      <c r="K332" s="24"/>
      <c r="L332" s="23"/>
      <c r="M332" s="24"/>
      <c r="N332" s="25"/>
      <c r="O332" s="24"/>
      <c r="P332" s="24"/>
      <c r="Q332" s="24"/>
      <c r="R332" s="24"/>
      <c r="S332" s="24"/>
      <c r="T332" s="26">
        <f t="shared" si="24"/>
        <v>0.29499999999999998</v>
      </c>
    </row>
    <row r="333" spans="2:20" x14ac:dyDescent="0.25">
      <c r="B333" s="134" t="s">
        <v>443</v>
      </c>
      <c r="C333" s="137" t="s">
        <v>444</v>
      </c>
      <c r="D333" s="135" t="s">
        <v>55</v>
      </c>
      <c r="E333" s="22" t="s">
        <v>56</v>
      </c>
      <c r="F333" s="23">
        <v>46070</v>
      </c>
      <c r="G333" s="24">
        <v>0.74</v>
      </c>
      <c r="H333" s="23">
        <v>46160</v>
      </c>
      <c r="I333" s="24">
        <v>0.76</v>
      </c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4"/>
        <v>1.5</v>
      </c>
    </row>
    <row r="334" spans="2:20" x14ac:dyDescent="0.25">
      <c r="B334" s="134" t="s">
        <v>571</v>
      </c>
      <c r="C334" s="137" t="s">
        <v>598</v>
      </c>
      <c r="D334" s="135" t="s">
        <v>55</v>
      </c>
      <c r="E334" s="22" t="s">
        <v>56</v>
      </c>
      <c r="F334" s="23">
        <v>46066</v>
      </c>
      <c r="G334" s="24">
        <v>0.62</v>
      </c>
      <c r="H334" s="23">
        <v>46157</v>
      </c>
      <c r="I334" s="24">
        <v>0.62</v>
      </c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4"/>
        <v>1.24</v>
      </c>
    </row>
    <row r="335" spans="2:20" x14ac:dyDescent="0.25">
      <c r="B335" s="134" t="s">
        <v>576</v>
      </c>
      <c r="C335" s="137" t="s">
        <v>603</v>
      </c>
      <c r="D335" s="135" t="s">
        <v>55</v>
      </c>
      <c r="E335" s="22" t="s">
        <v>56</v>
      </c>
      <c r="F335" s="23">
        <v>46052</v>
      </c>
      <c r="G335" s="24">
        <v>1.42</v>
      </c>
      <c r="H335" s="23">
        <v>46147</v>
      </c>
      <c r="I335" s="24">
        <v>1.42</v>
      </c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4"/>
        <v>2.84</v>
      </c>
    </row>
    <row r="336" spans="2:20" x14ac:dyDescent="0.25">
      <c r="B336" s="134" t="s">
        <v>569</v>
      </c>
      <c r="C336" s="137" t="s">
        <v>596</v>
      </c>
      <c r="D336" s="135" t="s">
        <v>55</v>
      </c>
      <c r="E336" s="22" t="s">
        <v>56</v>
      </c>
      <c r="F336" s="23">
        <v>46080</v>
      </c>
      <c r="G336" s="24">
        <v>1.38</v>
      </c>
      <c r="H336" s="23"/>
      <c r="I336" s="24"/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4"/>
        <v>1.38</v>
      </c>
    </row>
    <row r="337" spans="2:20" x14ac:dyDescent="0.25">
      <c r="B337" s="134" t="s">
        <v>552</v>
      </c>
      <c r="C337" s="137" t="s">
        <v>579</v>
      </c>
      <c r="D337" s="135" t="s">
        <v>55</v>
      </c>
      <c r="E337" s="22" t="s">
        <v>56</v>
      </c>
      <c r="F337" s="23">
        <v>46090</v>
      </c>
      <c r="G337" s="24">
        <v>2.21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4"/>
        <v>2.21</v>
      </c>
    </row>
    <row r="338" spans="2:20" x14ac:dyDescent="0.25">
      <c r="B338" s="134" t="s">
        <v>574</v>
      </c>
      <c r="C338" s="137" t="s">
        <v>601</v>
      </c>
      <c r="D338" s="135" t="s">
        <v>55</v>
      </c>
      <c r="E338" s="22" t="s">
        <v>56</v>
      </c>
      <c r="F338" s="23">
        <v>46112</v>
      </c>
      <c r="G338" s="24">
        <v>0.52</v>
      </c>
      <c r="H338" s="23"/>
      <c r="I338" s="24"/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4"/>
        <v>0.52</v>
      </c>
    </row>
    <row r="339" spans="2:20" x14ac:dyDescent="0.25">
      <c r="B339" s="134" t="s">
        <v>518</v>
      </c>
      <c r="C339" s="137" t="s">
        <v>519</v>
      </c>
      <c r="D339" s="135" t="s">
        <v>55</v>
      </c>
      <c r="E339" s="22" t="s">
        <v>56</v>
      </c>
      <c r="F339" s="23">
        <v>46122</v>
      </c>
      <c r="G339" s="24">
        <v>0.70750000000000002</v>
      </c>
      <c r="H339" s="23"/>
      <c r="I339" s="24"/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4"/>
        <v>0.70750000000000002</v>
      </c>
    </row>
    <row r="340" spans="2:20" x14ac:dyDescent="0.25">
      <c r="B340" s="134" t="s">
        <v>522</v>
      </c>
      <c r="C340" s="137" t="s">
        <v>523</v>
      </c>
      <c r="D340" s="135" t="s">
        <v>55</v>
      </c>
      <c r="E340" s="22" t="s">
        <v>56</v>
      </c>
      <c r="F340" s="23">
        <v>46063</v>
      </c>
      <c r="G340" s="24">
        <v>0.67</v>
      </c>
      <c r="H340" s="23">
        <v>46154</v>
      </c>
      <c r="I340" s="24">
        <v>0.67</v>
      </c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4"/>
        <v>1.34</v>
      </c>
    </row>
    <row r="341" spans="2:20" x14ac:dyDescent="0.25">
      <c r="B341" s="134" t="s">
        <v>631</v>
      </c>
      <c r="C341" s="137" t="s">
        <v>587</v>
      </c>
      <c r="D341" s="135" t="s">
        <v>55</v>
      </c>
      <c r="E341" s="22" t="s">
        <v>56</v>
      </c>
      <c r="F341" s="23">
        <v>46101</v>
      </c>
      <c r="G341" s="24">
        <v>0.2475</v>
      </c>
      <c r="H341" s="23">
        <v>46150</v>
      </c>
      <c r="I341" s="24">
        <v>0.2475</v>
      </c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4"/>
        <v>0.495</v>
      </c>
    </row>
    <row r="342" spans="2:20" x14ac:dyDescent="0.25">
      <c r="B342" s="134" t="s">
        <v>536</v>
      </c>
      <c r="C342" s="137" t="s">
        <v>537</v>
      </c>
      <c r="D342" s="135" t="s">
        <v>55</v>
      </c>
      <c r="E342" s="22" t="s">
        <v>56</v>
      </c>
      <c r="F342" s="23"/>
      <c r="G342" s="24"/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4"/>
        <v>0</v>
      </c>
    </row>
    <row r="343" spans="2:20" x14ac:dyDescent="0.25">
      <c r="B343" s="134" t="s">
        <v>538</v>
      </c>
      <c r="C343" s="137" t="s">
        <v>539</v>
      </c>
      <c r="D343" s="135" t="s">
        <v>55</v>
      </c>
      <c r="E343" s="22" t="s">
        <v>56</v>
      </c>
      <c r="F343" s="23">
        <v>46059</v>
      </c>
      <c r="G343" s="24">
        <v>0.45</v>
      </c>
      <c r="H343" s="23">
        <v>46150</v>
      </c>
      <c r="I343" s="24">
        <v>0.45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4"/>
        <v>0.9</v>
      </c>
    </row>
  </sheetData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4"/>
  <sheetViews>
    <sheetView showGridLines="0" zoomScale="85" zoomScaleNormal="85" workbookViewId="0">
      <pane xSplit="1" ySplit="12" topLeftCell="B322" activePane="bottomRight" state="frozen"/>
      <selection pane="topRight" activeCell="B1" sqref="B1"/>
      <selection pane="bottomLeft" activeCell="A13" sqref="A13"/>
      <selection pane="bottomRight" activeCell="B344" sqref="B344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46038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962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79" si="4">IF(F15&lt;=Exp25Q1,G15,0)+IF(H15&lt;=Exp25Q1,I15,0)+IF(J15&lt;=Exp25Q1,K15,0)+IF(L15&lt;=Exp25Q1,M15,0)+IF(N15&lt;=Exp25Q1,O15,0)</f>
        <v>0</v>
      </c>
      <c r="R15" s="152">
        <f t="shared" ref="R15:R79" si="5">IF(F15&lt;=Exp25H1,G15,0)+IF(H15&lt;=Exp25H1,I15,0)+IF(J15&lt;=Exp25H1,K15,0)+IF(L15&lt;=Exp25H1,M15,0)+IF(N15&lt;=Exp25H1,O15,0)</f>
        <v>0.9</v>
      </c>
      <c r="S15" s="152">
        <f t="shared" ref="S15:S79" si="6">IF(F15&lt;=Exp25Q3,G15,0)+IF(H15&lt;=Exp25Q3,I15,0)+IF(J15&lt;=Exp25Q3,K15,0)+IF(L15&lt;=Exp25Q3,M15,0)+IF(N15&lt;=Exp25Q3,O15,0)</f>
        <v>0.9</v>
      </c>
      <c r="T15" s="18">
        <f t="shared" ref="T15:T79" si="7">G15+I15+K15+M15+O15</f>
        <v>0.9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>
        <v>45890</v>
      </c>
      <c r="I36" s="16">
        <v>7.0000000000000007E-2</v>
      </c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0.28593000000000002</v>
      </c>
      <c r="T36" s="18">
        <f t="shared" si="7"/>
        <v>0.28593000000000002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25">
      <c r="B49" s="117" t="s">
        <v>964</v>
      </c>
      <c r="C49" s="136" t="s">
        <v>965</v>
      </c>
      <c r="D49" s="14" t="s">
        <v>941</v>
      </c>
      <c r="E49" s="14" t="s">
        <v>16</v>
      </c>
      <c r="F49" s="15">
        <v>45796</v>
      </c>
      <c r="G49" s="16">
        <v>0.86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ref="Q49" si="8">IF(F49&lt;=Exp25Q1,G49,0)+IF(H49&lt;=Exp25Q1,I49,0)+IF(J49&lt;=Exp25Q1,K49,0)+IF(L49&lt;=Exp25Q1,M49,0)+IF(N49&lt;=Exp25Q1,O49,0)</f>
        <v>0</v>
      </c>
      <c r="R49" s="152">
        <f t="shared" ref="R49" si="9">IF(F49&lt;=Exp25H1,G49,0)+IF(H49&lt;=Exp25H1,I49,0)+IF(J49&lt;=Exp25H1,K49,0)+IF(L49&lt;=Exp25H1,M49,0)+IF(N49&lt;=Exp25H1,O49,0)</f>
        <v>0.86</v>
      </c>
      <c r="S49" s="152">
        <f t="shared" ref="S49" si="10">IF(F49&lt;=Exp25Q3,G49,0)+IF(H49&lt;=Exp25Q3,I49,0)+IF(J49&lt;=Exp25Q3,K49,0)+IF(L49&lt;=Exp25Q3,M49,0)+IF(N49&lt;=Exp25Q3,O49,0)</f>
        <v>0.86</v>
      </c>
      <c r="T49" s="18">
        <f t="shared" ref="T49" si="11">G49+I49+K49+M49+O49</f>
        <v>0.86</v>
      </c>
    </row>
    <row r="50" spans="2:20" x14ac:dyDescent="0.25">
      <c r="B50" s="117" t="s">
        <v>86</v>
      </c>
      <c r="C50" s="136" t="s">
        <v>87</v>
      </c>
      <c r="D50" s="14" t="s">
        <v>15</v>
      </c>
      <c r="E50" s="14" t="s">
        <v>16</v>
      </c>
      <c r="F50" s="15">
        <v>45755</v>
      </c>
      <c r="G50" s="16">
        <v>0.41</v>
      </c>
      <c r="H50" s="15">
        <v>45966</v>
      </c>
      <c r="I50" s="16">
        <v>0.32</v>
      </c>
      <c r="J50" s="15"/>
      <c r="K50" s="16"/>
      <c r="L50" s="15"/>
      <c r="M50" s="63"/>
      <c r="N50" s="17"/>
      <c r="O50" s="16"/>
      <c r="P50" s="16"/>
      <c r="Q50" s="152">
        <f t="shared" si="4"/>
        <v>0</v>
      </c>
      <c r="R50" s="152">
        <f t="shared" si="5"/>
        <v>0.41</v>
      </c>
      <c r="S50" s="152">
        <f t="shared" si="6"/>
        <v>0.41</v>
      </c>
      <c r="T50" s="18">
        <f t="shared" si="7"/>
        <v>0.73</v>
      </c>
    </row>
    <row r="51" spans="2:20" x14ac:dyDescent="0.25">
      <c r="B51" s="117" t="s">
        <v>88</v>
      </c>
      <c r="C51" s="136" t="s">
        <v>940</v>
      </c>
      <c r="D51" s="14" t="s">
        <v>941</v>
      </c>
      <c r="E51" s="14" t="s">
        <v>16</v>
      </c>
      <c r="F51" s="15">
        <v>45796</v>
      </c>
      <c r="G51" s="16">
        <v>0.6</v>
      </c>
      <c r="H51" s="15">
        <v>45985</v>
      </c>
      <c r="I51" s="16">
        <v>0.46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0.6</v>
      </c>
      <c r="S51" s="152">
        <f t="shared" si="6"/>
        <v>0.6</v>
      </c>
      <c r="T51" s="18">
        <f t="shared" si="7"/>
        <v>1.06</v>
      </c>
    </row>
    <row r="52" spans="2:20" x14ac:dyDescent="0.25">
      <c r="B52" s="117" t="s">
        <v>814</v>
      </c>
      <c r="C52" s="136" t="s">
        <v>815</v>
      </c>
      <c r="D52" s="14" t="s">
        <v>15</v>
      </c>
      <c r="E52" s="14" t="s">
        <v>16</v>
      </c>
      <c r="F52" s="15">
        <v>45742</v>
      </c>
      <c r="G52" s="16">
        <v>0.1244</v>
      </c>
      <c r="H52" s="15">
        <v>45896</v>
      </c>
      <c r="I52" s="16">
        <v>7.0000000000000007E-2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0.1244</v>
      </c>
      <c r="S52" s="152">
        <f t="shared" si="6"/>
        <v>0.19440000000000002</v>
      </c>
      <c r="T52" s="18">
        <f t="shared" si="7"/>
        <v>0.19440000000000002</v>
      </c>
    </row>
    <row r="53" spans="2:20" x14ac:dyDescent="0.25">
      <c r="B53" s="117" t="s">
        <v>90</v>
      </c>
      <c r="C53" s="136" t="s">
        <v>91</v>
      </c>
      <c r="D53" s="14" t="s">
        <v>15</v>
      </c>
      <c r="E53" s="14" t="s">
        <v>16</v>
      </c>
      <c r="F53" s="15">
        <v>45776</v>
      </c>
      <c r="G53" s="16">
        <v>0.11</v>
      </c>
      <c r="H53" s="15">
        <v>45959</v>
      </c>
      <c r="I53" s="16">
        <v>0.115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0.11</v>
      </c>
      <c r="S53" s="152">
        <f t="shared" si="6"/>
        <v>0.11</v>
      </c>
      <c r="T53" s="18">
        <f t="shared" si="7"/>
        <v>0.22500000000000001</v>
      </c>
    </row>
    <row r="54" spans="2:20" x14ac:dyDescent="0.25">
      <c r="B54" s="117" t="s">
        <v>812</v>
      </c>
      <c r="C54" s="136" t="s">
        <v>813</v>
      </c>
      <c r="D54" s="14" t="s">
        <v>15</v>
      </c>
      <c r="E54" s="14" t="s">
        <v>16</v>
      </c>
      <c r="F54" s="15">
        <v>45777</v>
      </c>
      <c r="G54" s="16">
        <v>0.28000000000000003</v>
      </c>
      <c r="H54" s="15">
        <v>45932</v>
      </c>
      <c r="I54" s="16">
        <v>0.25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0.28000000000000003</v>
      </c>
      <c r="S54" s="152">
        <f t="shared" si="6"/>
        <v>0.28000000000000003</v>
      </c>
      <c r="T54" s="18">
        <f t="shared" si="7"/>
        <v>0.53</v>
      </c>
    </row>
    <row r="55" spans="2:20" x14ac:dyDescent="0.25">
      <c r="B55" s="117" t="s">
        <v>94</v>
      </c>
      <c r="C55" s="136" t="s">
        <v>95</v>
      </c>
      <c r="D55" s="14" t="s">
        <v>15</v>
      </c>
      <c r="E55" s="14" t="s">
        <v>16</v>
      </c>
      <c r="F55" s="15">
        <v>45748</v>
      </c>
      <c r="G55" s="16">
        <v>0.12347370000000001</v>
      </c>
      <c r="H55" s="15">
        <v>45831</v>
      </c>
      <c r="I55" s="16">
        <v>0.15029783999999999</v>
      </c>
      <c r="J55" s="15">
        <v>45989</v>
      </c>
      <c r="K55" s="16">
        <v>0.30121020999999998</v>
      </c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0.12347370000000001</v>
      </c>
      <c r="S55" s="152">
        <f t="shared" si="6"/>
        <v>0.27377153999999998</v>
      </c>
      <c r="T55" s="18">
        <f t="shared" si="7"/>
        <v>0.57498174999999996</v>
      </c>
    </row>
    <row r="56" spans="2:20" x14ac:dyDescent="0.25">
      <c r="B56" s="117" t="s">
        <v>96</v>
      </c>
      <c r="C56" s="136" t="s">
        <v>97</v>
      </c>
      <c r="D56" s="14" t="s">
        <v>15</v>
      </c>
      <c r="E56" s="14" t="s">
        <v>761</v>
      </c>
      <c r="F56" s="15">
        <v>45715</v>
      </c>
      <c r="G56" s="16">
        <v>5.5</v>
      </c>
      <c r="H56" s="15">
        <v>45876</v>
      </c>
      <c r="I56" s="16">
        <v>3</v>
      </c>
      <c r="J56" s="15"/>
      <c r="K56" s="16"/>
      <c r="L56" s="15"/>
      <c r="M56" s="63"/>
      <c r="N56" s="17"/>
      <c r="O56" s="16"/>
      <c r="P56" s="16"/>
      <c r="Q56" s="152">
        <f t="shared" si="4"/>
        <v>5.5</v>
      </c>
      <c r="R56" s="152">
        <f t="shared" si="5"/>
        <v>5.5</v>
      </c>
      <c r="S56" s="152">
        <f t="shared" si="6"/>
        <v>8.5</v>
      </c>
      <c r="T56" s="18">
        <f t="shared" si="7"/>
        <v>8.5</v>
      </c>
    </row>
    <row r="57" spans="2:20" x14ac:dyDescent="0.25">
      <c r="B57" s="117" t="s">
        <v>98</v>
      </c>
      <c r="C57" s="136" t="s">
        <v>99</v>
      </c>
      <c r="D57" s="14" t="s">
        <v>15</v>
      </c>
      <c r="E57" s="14" t="s">
        <v>16</v>
      </c>
      <c r="F57" s="15">
        <v>45782</v>
      </c>
      <c r="G57" s="16">
        <v>2.25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4"/>
        <v>0</v>
      </c>
      <c r="R57" s="152">
        <f t="shared" si="5"/>
        <v>2.25</v>
      </c>
      <c r="S57" s="152">
        <f t="shared" si="6"/>
        <v>2.25</v>
      </c>
      <c r="T57" s="18">
        <f t="shared" si="7"/>
        <v>2.25</v>
      </c>
    </row>
    <row r="58" spans="2:20" x14ac:dyDescent="0.25">
      <c r="B58" s="117" t="s">
        <v>804</v>
      </c>
      <c r="C58" s="136" t="s">
        <v>805</v>
      </c>
      <c r="D58" s="14" t="s">
        <v>15</v>
      </c>
      <c r="E58" s="14" t="s">
        <v>16</v>
      </c>
      <c r="F58" s="15">
        <v>45755</v>
      </c>
      <c r="G58" s="16">
        <v>5.5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5.5</v>
      </c>
      <c r="S58" s="152">
        <f t="shared" si="6"/>
        <v>5.5</v>
      </c>
      <c r="T58" s="18">
        <f t="shared" si="7"/>
        <v>5.5</v>
      </c>
    </row>
    <row r="59" spans="2:20" x14ac:dyDescent="0.25">
      <c r="B59" s="117" t="s">
        <v>100</v>
      </c>
      <c r="C59" s="136" t="s">
        <v>101</v>
      </c>
      <c r="D59" s="14" t="s">
        <v>15</v>
      </c>
      <c r="E59" s="14" t="s">
        <v>16</v>
      </c>
      <c r="F59" s="15">
        <v>45775</v>
      </c>
      <c r="G59" s="16">
        <v>0.11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0.11</v>
      </c>
      <c r="S59" s="152">
        <f t="shared" si="6"/>
        <v>0.11</v>
      </c>
      <c r="T59" s="18">
        <f t="shared" si="7"/>
        <v>0.11</v>
      </c>
    </row>
    <row r="60" spans="2:20" x14ac:dyDescent="0.25">
      <c r="B60" s="117" t="s">
        <v>777</v>
      </c>
      <c r="C60" s="136" t="s">
        <v>778</v>
      </c>
      <c r="D60" s="14" t="s">
        <v>15</v>
      </c>
      <c r="E60" s="14" t="s">
        <v>16</v>
      </c>
      <c r="F60" s="15">
        <v>45772</v>
      </c>
      <c r="G60" s="16">
        <v>2.1800000000000002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2.1800000000000002</v>
      </c>
      <c r="S60" s="152">
        <f t="shared" si="6"/>
        <v>2.1800000000000002</v>
      </c>
      <c r="T60" s="18">
        <f t="shared" si="7"/>
        <v>2.1800000000000002</v>
      </c>
    </row>
    <row r="61" spans="2:20" x14ac:dyDescent="0.25">
      <c r="B61" s="117" t="s">
        <v>865</v>
      </c>
      <c r="C61" s="136" t="s">
        <v>866</v>
      </c>
      <c r="D61" s="14" t="s">
        <v>15</v>
      </c>
      <c r="E61" s="14" t="s">
        <v>16</v>
      </c>
      <c r="F61" s="15">
        <v>45769</v>
      </c>
      <c r="G61" s="16">
        <v>1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1</v>
      </c>
      <c r="S61" s="152">
        <f t="shared" si="6"/>
        <v>1</v>
      </c>
      <c r="T61" s="18">
        <f t="shared" si="7"/>
        <v>1</v>
      </c>
    </row>
    <row r="62" spans="2:20" x14ac:dyDescent="0.25">
      <c r="B62" s="117" t="s">
        <v>104</v>
      </c>
      <c r="C62" s="136" t="s">
        <v>105</v>
      </c>
      <c r="D62" s="14" t="s">
        <v>27</v>
      </c>
      <c r="E62" s="14" t="s">
        <v>16</v>
      </c>
      <c r="F62" s="15">
        <v>45793</v>
      </c>
      <c r="G62" s="16">
        <v>1.9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1.9</v>
      </c>
      <c r="S62" s="152">
        <f t="shared" si="6"/>
        <v>1.9</v>
      </c>
      <c r="T62" s="18">
        <f t="shared" si="7"/>
        <v>1.9</v>
      </c>
    </row>
    <row r="63" spans="2:20" x14ac:dyDescent="0.25">
      <c r="B63" s="117" t="s">
        <v>108</v>
      </c>
      <c r="C63" s="136" t="s">
        <v>109</v>
      </c>
      <c r="D63" s="14" t="s">
        <v>15</v>
      </c>
      <c r="E63" s="14" t="s">
        <v>16</v>
      </c>
      <c r="F63" s="15">
        <v>45792</v>
      </c>
      <c r="G63" s="16">
        <v>4.3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4.3</v>
      </c>
      <c r="S63" s="152">
        <f t="shared" si="6"/>
        <v>4.3</v>
      </c>
      <c r="T63" s="18">
        <f t="shared" si="7"/>
        <v>4.3</v>
      </c>
    </row>
    <row r="64" spans="2:20" x14ac:dyDescent="0.25">
      <c r="B64" s="117" t="s">
        <v>110</v>
      </c>
      <c r="C64" s="136" t="s">
        <v>111</v>
      </c>
      <c r="D64" s="14" t="s">
        <v>24</v>
      </c>
      <c r="E64" s="14" t="s">
        <v>16</v>
      </c>
      <c r="F64" s="15">
        <v>45796</v>
      </c>
      <c r="G64" s="16">
        <v>4.79</v>
      </c>
      <c r="H64" s="15">
        <v>45926</v>
      </c>
      <c r="I64" s="16">
        <v>2.59</v>
      </c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4.79</v>
      </c>
      <c r="S64" s="152">
        <f t="shared" si="6"/>
        <v>4.79</v>
      </c>
      <c r="T64" s="18">
        <f t="shared" si="7"/>
        <v>7.38</v>
      </c>
    </row>
    <row r="65" spans="2:20" x14ac:dyDescent="0.25">
      <c r="B65" s="117" t="s">
        <v>832</v>
      </c>
      <c r="C65" s="136" t="s">
        <v>833</v>
      </c>
      <c r="D65" s="14" t="s">
        <v>15</v>
      </c>
      <c r="E65" s="14" t="s">
        <v>200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0</v>
      </c>
      <c r="S65" s="152">
        <f t="shared" si="6"/>
        <v>0</v>
      </c>
      <c r="T65" s="18">
        <f t="shared" si="7"/>
        <v>0</v>
      </c>
    </row>
    <row r="66" spans="2:20" x14ac:dyDescent="0.25">
      <c r="B66" s="117" t="s">
        <v>114</v>
      </c>
      <c r="C66" s="136" t="s">
        <v>115</v>
      </c>
      <c r="D66" s="14" t="s">
        <v>24</v>
      </c>
      <c r="E66" s="14" t="s">
        <v>16</v>
      </c>
      <c r="F66" s="15">
        <v>45818</v>
      </c>
      <c r="G66" s="16">
        <v>0.06</v>
      </c>
      <c r="H66" s="15">
        <v>45926</v>
      </c>
      <c r="I66" s="16">
        <v>0.02</v>
      </c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0.06</v>
      </c>
      <c r="S66" s="152">
        <f t="shared" si="6"/>
        <v>0.06</v>
      </c>
      <c r="T66" s="18">
        <f t="shared" si="7"/>
        <v>0.08</v>
      </c>
    </row>
    <row r="67" spans="2:20" x14ac:dyDescent="0.25">
      <c r="B67" s="117" t="s">
        <v>120</v>
      </c>
      <c r="C67" s="136" t="s">
        <v>121</v>
      </c>
      <c r="D67" s="14" t="s">
        <v>24</v>
      </c>
      <c r="E67" s="14" t="s">
        <v>16</v>
      </c>
      <c r="F67" s="15">
        <v>45782</v>
      </c>
      <c r="G67" s="16">
        <v>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2</v>
      </c>
      <c r="S67" s="152">
        <f t="shared" si="6"/>
        <v>2</v>
      </c>
      <c r="T67" s="18">
        <f t="shared" si="7"/>
        <v>2</v>
      </c>
    </row>
    <row r="68" spans="2:20" x14ac:dyDescent="0.25">
      <c r="B68" s="117" t="s">
        <v>122</v>
      </c>
      <c r="C68" s="136" t="s">
        <v>123</v>
      </c>
      <c r="D68" s="14" t="s">
        <v>15</v>
      </c>
      <c r="E68" s="14" t="s">
        <v>761</v>
      </c>
      <c r="F68" s="15">
        <v>45708</v>
      </c>
      <c r="G68" s="16">
        <f>0.08*100/1.0434*0.82838</f>
        <v>6.3513896875598999</v>
      </c>
      <c r="H68" s="15">
        <v>45792</v>
      </c>
      <c r="I68" s="16">
        <f>0.08*100/1.1214*0.8415</f>
        <v>6.0032102728731944</v>
      </c>
      <c r="J68" s="15">
        <v>45883</v>
      </c>
      <c r="K68" s="16">
        <f>0.0832*100/1.1711*0.8631</f>
        <v>6.1318350268977886</v>
      </c>
      <c r="L68" s="15">
        <v>45974</v>
      </c>
      <c r="M68" s="16">
        <f>0.0832*100/1.1576*0.8823</f>
        <v>6.3413407049067043</v>
      </c>
      <c r="N68" s="17"/>
      <c r="O68" s="16"/>
      <c r="P68" s="16"/>
      <c r="Q68" s="152">
        <f t="shared" si="4"/>
        <v>6.3513896875598999</v>
      </c>
      <c r="R68" s="152">
        <f t="shared" si="5"/>
        <v>12.354599960433095</v>
      </c>
      <c r="S68" s="152">
        <f t="shared" si="6"/>
        <v>18.486434987330885</v>
      </c>
      <c r="T68" s="18">
        <f t="shared" si="7"/>
        <v>24.827775692237587</v>
      </c>
    </row>
    <row r="69" spans="2:20" x14ac:dyDescent="0.25">
      <c r="B69" s="117" t="s">
        <v>966</v>
      </c>
      <c r="C69" s="136" t="s">
        <v>967</v>
      </c>
      <c r="D69" s="14" t="s">
        <v>941</v>
      </c>
      <c r="E69" s="14" t="s">
        <v>16</v>
      </c>
      <c r="F69" s="15">
        <v>45796</v>
      </c>
      <c r="G69" s="16">
        <v>0.6</v>
      </c>
      <c r="H69" s="15">
        <v>45985</v>
      </c>
      <c r="I69" s="16">
        <v>0.1</v>
      </c>
      <c r="J69" s="15"/>
      <c r="K69" s="16"/>
      <c r="L69" s="15"/>
      <c r="M69" s="16"/>
      <c r="N69" s="17"/>
      <c r="O69" s="16"/>
      <c r="P69" s="16"/>
      <c r="Q69" s="152">
        <f t="shared" ref="Q69" si="12">IF(F69&lt;=Exp25Q1,G69,0)+IF(H69&lt;=Exp25Q1,I69,0)+IF(J69&lt;=Exp25Q1,K69,0)+IF(L69&lt;=Exp25Q1,M69,0)+IF(N69&lt;=Exp25Q1,O69,0)</f>
        <v>0</v>
      </c>
      <c r="R69" s="152">
        <f t="shared" ref="R69" si="13">IF(F69&lt;=Exp25H1,G69,0)+IF(H69&lt;=Exp25H1,I69,0)+IF(J69&lt;=Exp25H1,K69,0)+IF(L69&lt;=Exp25H1,M69,0)+IF(N69&lt;=Exp25H1,O69,0)</f>
        <v>0.6</v>
      </c>
      <c r="S69" s="152">
        <f t="shared" ref="S69" si="14">IF(F69&lt;=Exp25Q3,G69,0)+IF(H69&lt;=Exp25Q3,I69,0)+IF(J69&lt;=Exp25Q3,K69,0)+IF(L69&lt;=Exp25Q3,M69,0)+IF(N69&lt;=Exp25Q3,O69,0)</f>
        <v>0.6</v>
      </c>
      <c r="T69" s="18">
        <f t="shared" ref="T69" si="15">G69+I69+K69+M69+O69</f>
        <v>0.7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4"/>
        <v>0</v>
      </c>
      <c r="R70" s="152">
        <f t="shared" si="5"/>
        <v>0</v>
      </c>
      <c r="S70" s="152">
        <f t="shared" si="6"/>
        <v>0</v>
      </c>
      <c r="T70" s="18">
        <f t="shared" si="7"/>
        <v>0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45800</v>
      </c>
      <c r="G71" s="16">
        <v>2.1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2.1</v>
      </c>
      <c r="S71" s="152">
        <f t="shared" si="6"/>
        <v>2.1</v>
      </c>
      <c r="T71" s="18">
        <f t="shared" si="7"/>
        <v>2.1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45743</v>
      </c>
      <c r="G72" s="16">
        <v>60.06</v>
      </c>
      <c r="H72" s="15">
        <v>45834</v>
      </c>
      <c r="I72" s="16">
        <v>60.06</v>
      </c>
      <c r="J72" s="15">
        <v>45932</v>
      </c>
      <c r="K72" s="16">
        <v>60.06</v>
      </c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60.06</v>
      </c>
      <c r="S72" s="152">
        <f t="shared" si="6"/>
        <v>120.12</v>
      </c>
      <c r="T72" s="18">
        <f t="shared" si="7"/>
        <v>180.18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45650</v>
      </c>
      <c r="G73" s="16">
        <v>2.4</v>
      </c>
      <c r="H73" s="15">
        <v>45876</v>
      </c>
      <c r="I73" s="16">
        <v>5.76</v>
      </c>
      <c r="J73" s="15"/>
      <c r="K73" s="16"/>
      <c r="L73" s="15"/>
      <c r="M73" s="63"/>
      <c r="N73" s="17"/>
      <c r="O73" s="16"/>
      <c r="P73" s="16"/>
      <c r="Q73" s="152">
        <f t="shared" si="4"/>
        <v>2.4</v>
      </c>
      <c r="R73" s="152">
        <f t="shared" si="5"/>
        <v>2.4</v>
      </c>
      <c r="S73" s="152">
        <f t="shared" si="6"/>
        <v>8.16</v>
      </c>
      <c r="T73" s="18">
        <f t="shared" si="7"/>
        <v>8.16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45769</v>
      </c>
      <c r="G74" s="16">
        <v>0.28639999999999999</v>
      </c>
      <c r="H74" s="15">
        <v>45966</v>
      </c>
      <c r="I74" s="16">
        <v>0.16789999999999999</v>
      </c>
      <c r="J74" s="15"/>
      <c r="K74" s="16"/>
      <c r="L74" s="15"/>
      <c r="M74" s="63"/>
      <c r="N74" s="17"/>
      <c r="O74" s="16"/>
      <c r="P74" s="16"/>
      <c r="Q74" s="152">
        <f t="shared" si="4"/>
        <v>0</v>
      </c>
      <c r="R74" s="152">
        <f t="shared" si="5"/>
        <v>0.28639999999999999</v>
      </c>
      <c r="S74" s="152">
        <f t="shared" si="6"/>
        <v>0.28639999999999999</v>
      </c>
      <c r="T74" s="18">
        <f t="shared" si="7"/>
        <v>0.45429999999999998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45797</v>
      </c>
      <c r="G75" s="16">
        <v>3.4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3.4</v>
      </c>
      <c r="S75" s="152">
        <f t="shared" si="6"/>
        <v>3.4</v>
      </c>
      <c r="T75" s="18">
        <f t="shared" si="7"/>
        <v>3.4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75">
        <v>45807</v>
      </c>
      <c r="G76" s="154">
        <f>0.92*0.98271976</f>
        <v>0.90410217920000013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0.90410217920000013</v>
      </c>
      <c r="S76" s="152">
        <f t="shared" si="6"/>
        <v>0.90410217920000013</v>
      </c>
      <c r="T76" s="18">
        <f t="shared" si="7"/>
        <v>0.90410217920000013</v>
      </c>
    </row>
    <row r="77" spans="2:20" x14ac:dyDescent="0.25">
      <c r="B77" s="117" t="s">
        <v>610</v>
      </c>
      <c r="C77" s="136" t="s">
        <v>326</v>
      </c>
      <c r="D77" s="45" t="s">
        <v>15</v>
      </c>
      <c r="E77" s="45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</v>
      </c>
      <c r="S77" s="152">
        <f t="shared" si="6"/>
        <v>0</v>
      </c>
      <c r="T77" s="18">
        <f t="shared" si="7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45778</v>
      </c>
      <c r="G78" s="16">
        <v>3</v>
      </c>
      <c r="H78" s="15">
        <v>45918</v>
      </c>
      <c r="I78" s="16">
        <v>1.83</v>
      </c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3</v>
      </c>
      <c r="S78" s="152">
        <f t="shared" si="6"/>
        <v>4.83</v>
      </c>
      <c r="T78" s="18">
        <f t="shared" si="7"/>
        <v>4.83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45806</v>
      </c>
      <c r="G79" s="16">
        <v>1.03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1.03</v>
      </c>
      <c r="S79" s="152">
        <f t="shared" si="6"/>
        <v>1.03</v>
      </c>
      <c r="T79" s="18">
        <f t="shared" si="7"/>
        <v>1.03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45796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ref="Q80:Q143" si="16">IF(F80&lt;=Exp25Q1,G80,0)+IF(H80&lt;=Exp25Q1,I80,0)+IF(J80&lt;=Exp25Q1,K80,0)+IF(L80&lt;=Exp25Q1,M80,0)+IF(N80&lt;=Exp25Q1,O80,0)</f>
        <v>0</v>
      </c>
      <c r="R80" s="152">
        <f t="shared" ref="R80:R143" si="17">IF(F80&lt;=Exp25H1,G80,0)+IF(H80&lt;=Exp25H1,I80,0)+IF(J80&lt;=Exp25H1,K80,0)+IF(L80&lt;=Exp25H1,M80,0)+IF(N80&lt;=Exp25H1,O80,0)</f>
        <v>6.2</v>
      </c>
      <c r="S80" s="152">
        <f t="shared" ref="S80:S143" si="18">IF(F80&lt;=Exp25Q3,G80,0)+IF(H80&lt;=Exp25Q3,I80,0)+IF(J80&lt;=Exp25Q3,K80,0)+IF(L80&lt;=Exp25Q3,M80,0)+IF(N80&lt;=Exp25Q3,O80,0)</f>
        <v>6.2</v>
      </c>
      <c r="T80" s="18">
        <f t="shared" ref="T80:T143" si="19">G80+I80+K80+M80+O80</f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45926</v>
      </c>
      <c r="G81" s="16">
        <v>1.38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6"/>
        <v>0</v>
      </c>
      <c r="R81" s="152">
        <f t="shared" si="17"/>
        <v>0</v>
      </c>
      <c r="S81" s="152">
        <f t="shared" si="18"/>
        <v>0</v>
      </c>
      <c r="T81" s="18">
        <f t="shared" si="19"/>
        <v>1.38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>
        <v>45917</v>
      </c>
      <c r="G82" s="16">
        <v>3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3</v>
      </c>
      <c r="T82" s="18">
        <f t="shared" si="19"/>
        <v>3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45673</v>
      </c>
      <c r="G83" s="16">
        <f>0.391/1.03*0.84313*100</f>
        <v>32.006197087378638</v>
      </c>
      <c r="H83" s="15">
        <v>45827</v>
      </c>
      <c r="I83" s="16">
        <f>0.226/1.1508*0.8552*100</f>
        <v>16.794855752519986</v>
      </c>
      <c r="J83" s="15"/>
      <c r="K83" s="16"/>
      <c r="L83" s="15"/>
      <c r="M83" s="63"/>
      <c r="N83" s="17"/>
      <c r="O83" s="16"/>
      <c r="P83" s="16"/>
      <c r="Q83" s="152">
        <f t="shared" si="16"/>
        <v>32.006197087378638</v>
      </c>
      <c r="R83" s="152">
        <f t="shared" si="17"/>
        <v>48.801052839898624</v>
      </c>
      <c r="S83" s="152">
        <f t="shared" si="18"/>
        <v>48.801052839898624</v>
      </c>
      <c r="T83" s="18">
        <f t="shared" si="19"/>
        <v>48.801052839898624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45803</v>
      </c>
      <c r="G84" s="16">
        <v>1.1000000000000001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6"/>
        <v>0</v>
      </c>
      <c r="R84" s="152">
        <f t="shared" si="17"/>
        <v>1.1000000000000001</v>
      </c>
      <c r="S84" s="152">
        <f t="shared" si="18"/>
        <v>1.1000000000000001</v>
      </c>
      <c r="T84" s="18">
        <f t="shared" si="19"/>
        <v>1.1000000000000001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45805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16"/>
        <v>0</v>
      </c>
      <c r="R85" s="152">
        <f t="shared" si="17"/>
        <v>1.9</v>
      </c>
      <c r="S85" s="152">
        <f t="shared" si="18"/>
        <v>1.9</v>
      </c>
      <c r="T85" s="18">
        <f t="shared" si="19"/>
        <v>1.9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45782</v>
      </c>
      <c r="G86" s="16">
        <v>2.15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2.15</v>
      </c>
      <c r="S86" s="152">
        <f t="shared" si="18"/>
        <v>2.15</v>
      </c>
      <c r="T86" s="18">
        <f t="shared" si="19"/>
        <v>2.15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45803</v>
      </c>
      <c r="G87" s="16">
        <v>0.26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0.26</v>
      </c>
      <c r="S87" s="152">
        <f t="shared" si="18"/>
        <v>0.26</v>
      </c>
      <c r="T87" s="18">
        <f t="shared" si="19"/>
        <v>0.26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45698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0.13</v>
      </c>
      <c r="R88" s="152">
        <f t="shared" si="17"/>
        <v>0.13</v>
      </c>
      <c r="S88" s="152">
        <f t="shared" si="18"/>
        <v>0.13</v>
      </c>
      <c r="T88" s="18">
        <f t="shared" si="19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45800</v>
      </c>
      <c r="G89" s="16">
        <v>0.68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16"/>
        <v>0</v>
      </c>
      <c r="R89" s="152">
        <f t="shared" si="17"/>
        <v>0.68</v>
      </c>
      <c r="S89" s="152">
        <f t="shared" si="18"/>
        <v>0.68</v>
      </c>
      <c r="T89" s="18">
        <f t="shared" si="19"/>
        <v>0.68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45792</v>
      </c>
      <c r="G90" s="16">
        <v>4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4</v>
      </c>
      <c r="S90" s="152">
        <f t="shared" si="18"/>
        <v>4</v>
      </c>
      <c r="T90" s="18">
        <f t="shared" si="19"/>
        <v>4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45784</v>
      </c>
      <c r="G91" s="16">
        <v>0.3</v>
      </c>
      <c r="H91" s="15"/>
      <c r="I91" s="16">
        <f>1/1.1553</f>
        <v>0.86557604085518913</v>
      </c>
      <c r="J91" s="15"/>
      <c r="K91" s="16"/>
      <c r="L91" s="15"/>
      <c r="M91" s="63"/>
      <c r="N91" s="17"/>
      <c r="O91" s="16"/>
      <c r="P91" s="16"/>
      <c r="Q91" s="152">
        <f t="shared" si="16"/>
        <v>0.86557604085518913</v>
      </c>
      <c r="R91" s="152">
        <f t="shared" si="17"/>
        <v>1.1655760408551892</v>
      </c>
      <c r="S91" s="152">
        <f t="shared" si="18"/>
        <v>1.1655760408551892</v>
      </c>
      <c r="T91" s="18">
        <f t="shared" si="19"/>
        <v>1.1655760408551892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45782</v>
      </c>
      <c r="G92" s="16">
        <v>1.85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6"/>
        <v>0</v>
      </c>
      <c r="R92" s="152">
        <f t="shared" si="17"/>
        <v>1.85</v>
      </c>
      <c r="S92" s="152">
        <f t="shared" si="18"/>
        <v>1.85</v>
      </c>
      <c r="T92" s="18">
        <f t="shared" si="19"/>
        <v>1.85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45757</v>
      </c>
      <c r="G93" s="16">
        <v>0.9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0.9</v>
      </c>
      <c r="S93" s="152">
        <f t="shared" si="18"/>
        <v>0.9</v>
      </c>
      <c r="T93" s="18">
        <f t="shared" si="19"/>
        <v>0.9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45715</v>
      </c>
      <c r="G94" s="16">
        <f>0.405/1.0487*0.82868*100</f>
        <v>32.002994183274538</v>
      </c>
      <c r="H94" s="15">
        <v>45946</v>
      </c>
      <c r="I94" s="16">
        <f>0.6298/1.1622*0.8705*100</f>
        <v>47.17268112200999</v>
      </c>
      <c r="J94" s="15"/>
      <c r="K94" s="16"/>
      <c r="L94" s="15"/>
      <c r="M94" s="63"/>
      <c r="N94" s="17"/>
      <c r="O94" s="16"/>
      <c r="P94" s="16"/>
      <c r="Q94" s="152">
        <f t="shared" si="16"/>
        <v>32.002994183274538</v>
      </c>
      <c r="R94" s="152">
        <f t="shared" si="17"/>
        <v>32.002994183274538</v>
      </c>
      <c r="S94" s="152">
        <f t="shared" si="18"/>
        <v>32.002994183274538</v>
      </c>
      <c r="T94" s="18">
        <f t="shared" si="19"/>
        <v>79.175675305284528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45818</v>
      </c>
      <c r="G95" s="16">
        <v>1.6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16"/>
        <v>0</v>
      </c>
      <c r="R95" s="152">
        <f t="shared" si="17"/>
        <v>1.6</v>
      </c>
      <c r="S95" s="152">
        <f t="shared" si="18"/>
        <v>1.6</v>
      </c>
      <c r="T95" s="18">
        <f t="shared" si="19"/>
        <v>1.6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45777</v>
      </c>
      <c r="G96" s="16">
        <v>16.75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16.75</v>
      </c>
      <c r="S96" s="152">
        <f t="shared" si="18"/>
        <v>16.75</v>
      </c>
      <c r="T96" s="18">
        <f t="shared" si="19"/>
        <v>16.75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45785</v>
      </c>
      <c r="G97" s="16"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2.5</v>
      </c>
      <c r="S97" s="152">
        <f t="shared" si="18"/>
        <v>2.5</v>
      </c>
      <c r="T97" s="18">
        <f t="shared" si="19"/>
        <v>2.5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45793</v>
      </c>
      <c r="G98" s="16">
        <v>0.55000000000000004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0.55000000000000004</v>
      </c>
      <c r="S98" s="152">
        <f t="shared" si="18"/>
        <v>0.55000000000000004</v>
      </c>
      <c r="T98" s="18">
        <f t="shared" si="19"/>
        <v>0.55000000000000004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45779</v>
      </c>
      <c r="G99" s="16">
        <v>0.2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0.2</v>
      </c>
      <c r="S99" s="152">
        <f t="shared" si="18"/>
        <v>0.2</v>
      </c>
      <c r="T99" s="18">
        <f t="shared" si="19"/>
        <v>0.2</v>
      </c>
    </row>
    <row r="100" spans="2:20" x14ac:dyDescent="0.25">
      <c r="B100" s="117" t="s">
        <v>787</v>
      </c>
      <c r="C100" s="136" t="s">
        <v>788</v>
      </c>
      <c r="D100" s="14" t="s">
        <v>237</v>
      </c>
      <c r="E100" s="14" t="s">
        <v>16</v>
      </c>
      <c r="F100" s="15">
        <v>45763</v>
      </c>
      <c r="G100" s="16">
        <v>8.4000000000000005E-2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8.4000000000000005E-2</v>
      </c>
      <c r="S100" s="152">
        <f t="shared" si="18"/>
        <v>8.4000000000000005E-2</v>
      </c>
      <c r="T100" s="18">
        <f t="shared" si="19"/>
        <v>8.4000000000000005E-2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0</v>
      </c>
      <c r="S101" s="152">
        <f t="shared" si="18"/>
        <v>0</v>
      </c>
      <c r="T101" s="18">
        <f t="shared" si="19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75">
        <v>45735</v>
      </c>
      <c r="G102" s="154">
        <f>2.05*0.94733333</f>
        <v>1.9420333264999998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1.9420333264999998</v>
      </c>
      <c r="R102" s="152">
        <f t="shared" si="17"/>
        <v>1.9420333264999998</v>
      </c>
      <c r="S102" s="152">
        <f t="shared" si="18"/>
        <v>1.9420333264999998</v>
      </c>
      <c r="T102" s="18">
        <f t="shared" si="19"/>
        <v>1.9420333264999998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0</v>
      </c>
      <c r="R103" s="152">
        <f t="shared" si="17"/>
        <v>0</v>
      </c>
      <c r="S103" s="152">
        <f t="shared" si="18"/>
        <v>0</v>
      </c>
      <c r="T103" s="18">
        <f t="shared" si="19"/>
        <v>0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45750</v>
      </c>
      <c r="G104" s="16">
        <v>1.18</v>
      </c>
      <c r="H104" s="15">
        <v>45946</v>
      </c>
      <c r="I104" s="16">
        <v>1.17</v>
      </c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1.18</v>
      </c>
      <c r="S104" s="152">
        <f t="shared" si="18"/>
        <v>1.18</v>
      </c>
      <c r="T104" s="18">
        <f t="shared" si="19"/>
        <v>2.3499999999999996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45839</v>
      </c>
      <c r="G105" s="16">
        <v>0.6</v>
      </c>
      <c r="H105" s="15">
        <v>46010</v>
      </c>
      <c r="I105" s="16">
        <v>0.4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0</v>
      </c>
      <c r="S105" s="152">
        <f t="shared" si="18"/>
        <v>0.6</v>
      </c>
      <c r="T105" s="18">
        <f t="shared" si="19"/>
        <v>1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45663</v>
      </c>
      <c r="G106" s="16">
        <v>0.5</v>
      </c>
      <c r="H106" s="15">
        <v>45835</v>
      </c>
      <c r="I106" s="16">
        <v>0.81769999999999998</v>
      </c>
      <c r="J106" s="15"/>
      <c r="K106" s="16"/>
      <c r="L106" s="15"/>
      <c r="M106" s="63"/>
      <c r="N106" s="17"/>
      <c r="O106" s="16"/>
      <c r="P106" s="16"/>
      <c r="Q106" s="152">
        <f t="shared" si="16"/>
        <v>0.5</v>
      </c>
      <c r="R106" s="152">
        <f t="shared" si="17"/>
        <v>0.5</v>
      </c>
      <c r="S106" s="152">
        <f t="shared" si="18"/>
        <v>1.3176999999999999</v>
      </c>
      <c r="T106" s="18">
        <f t="shared" si="19"/>
        <v>1.3176999999999999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45677</v>
      </c>
      <c r="G107" s="16">
        <v>0.215</v>
      </c>
      <c r="H107" s="15">
        <v>45859</v>
      </c>
      <c r="I107" s="16">
        <v>0.255</v>
      </c>
      <c r="J107" s="15"/>
      <c r="K107" s="16"/>
      <c r="L107" s="15"/>
      <c r="M107" s="63"/>
      <c r="N107" s="17"/>
      <c r="O107" s="16"/>
      <c r="P107" s="16"/>
      <c r="Q107" s="152">
        <f t="shared" si="16"/>
        <v>0.215</v>
      </c>
      <c r="R107" s="152">
        <f t="shared" si="17"/>
        <v>0.215</v>
      </c>
      <c r="S107" s="152">
        <f t="shared" si="18"/>
        <v>0.47</v>
      </c>
      <c r="T107" s="18">
        <f t="shared" si="19"/>
        <v>0.47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45772</v>
      </c>
      <c r="G108" s="16">
        <v>1.48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6"/>
        <v>0</v>
      </c>
      <c r="R108" s="152">
        <f t="shared" si="17"/>
        <v>1.48</v>
      </c>
      <c r="S108" s="152">
        <f t="shared" si="18"/>
        <v>1.48</v>
      </c>
      <c r="T108" s="18">
        <f t="shared" si="19"/>
        <v>1.48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45740</v>
      </c>
      <c r="G109" s="16">
        <v>0.25</v>
      </c>
      <c r="H109" s="15">
        <v>45796</v>
      </c>
      <c r="I109" s="16">
        <v>0.25</v>
      </c>
      <c r="J109" s="15">
        <v>45922</v>
      </c>
      <c r="K109" s="16">
        <v>0.26</v>
      </c>
      <c r="L109" s="15">
        <v>45985</v>
      </c>
      <c r="M109" s="63">
        <v>0.26</v>
      </c>
      <c r="N109" s="17"/>
      <c r="O109" s="16"/>
      <c r="P109" s="16"/>
      <c r="Q109" s="152">
        <f t="shared" si="16"/>
        <v>0</v>
      </c>
      <c r="R109" s="152">
        <f t="shared" si="17"/>
        <v>0.5</v>
      </c>
      <c r="S109" s="152">
        <f t="shared" si="18"/>
        <v>0.5</v>
      </c>
      <c r="T109" s="18">
        <f t="shared" si="19"/>
        <v>1.02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75">
        <v>45701</v>
      </c>
      <c r="G110" s="154">
        <f>0.35*0.98519797</f>
        <v>0.34481928949999996</v>
      </c>
      <c r="H110" s="15">
        <v>45792</v>
      </c>
      <c r="I110" s="16">
        <v>0.37</v>
      </c>
      <c r="J110" s="15">
        <v>45887</v>
      </c>
      <c r="K110" s="16">
        <v>0.37</v>
      </c>
      <c r="L110" s="15">
        <v>45974</v>
      </c>
      <c r="M110" s="16">
        <v>0.37</v>
      </c>
      <c r="N110" s="17"/>
      <c r="O110" s="16"/>
      <c r="P110" s="16"/>
      <c r="Q110" s="152">
        <f t="shared" si="16"/>
        <v>0.34481928949999996</v>
      </c>
      <c r="R110" s="152">
        <f t="shared" si="17"/>
        <v>0.71481928949999995</v>
      </c>
      <c r="S110" s="152">
        <f t="shared" si="18"/>
        <v>1.0848192895</v>
      </c>
      <c r="T110" s="18">
        <f t="shared" si="19"/>
        <v>1.4548192895000001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45742</v>
      </c>
      <c r="G111" s="16">
        <v>1.43</v>
      </c>
      <c r="H111" s="15">
        <v>45926</v>
      </c>
      <c r="I111" s="16">
        <v>1.42</v>
      </c>
      <c r="J111" s="15"/>
      <c r="K111" s="16"/>
      <c r="L111" s="15"/>
      <c r="M111" s="63"/>
      <c r="N111" s="17"/>
      <c r="O111" s="16"/>
      <c r="P111" s="16"/>
      <c r="Q111" s="152">
        <f t="shared" si="16"/>
        <v>0</v>
      </c>
      <c r="R111" s="152">
        <f t="shared" si="17"/>
        <v>1.43</v>
      </c>
      <c r="S111" s="152">
        <f t="shared" si="18"/>
        <v>1.43</v>
      </c>
      <c r="T111" s="18">
        <f t="shared" si="19"/>
        <v>2.8499999999999996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45803</v>
      </c>
      <c r="G112" s="16">
        <v>3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3</v>
      </c>
      <c r="S112" s="152">
        <f t="shared" si="18"/>
        <v>3</v>
      </c>
      <c r="T112" s="18">
        <f t="shared" si="19"/>
        <v>3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45784</v>
      </c>
      <c r="G113" s="16">
        <v>3.95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3.95</v>
      </c>
      <c r="S113" s="152">
        <f t="shared" si="18"/>
        <v>3.95</v>
      </c>
      <c r="T113" s="18">
        <f t="shared" si="19"/>
        <v>3.95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45744</v>
      </c>
      <c r="G114" s="16">
        <v>8.25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8.25</v>
      </c>
      <c r="S114" s="152">
        <f t="shared" si="18"/>
        <v>8.25</v>
      </c>
      <c r="T114" s="18">
        <f t="shared" si="19"/>
        <v>8.25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45775</v>
      </c>
      <c r="G115" s="16">
        <v>0.6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0.6</v>
      </c>
      <c r="S115" s="152">
        <f t="shared" si="18"/>
        <v>0.6</v>
      </c>
      <c r="T115" s="18">
        <f t="shared" si="19"/>
        <v>0.6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45803</v>
      </c>
      <c r="G116" s="16">
        <v>2.9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2.9</v>
      </c>
      <c r="S116" s="152">
        <f t="shared" si="18"/>
        <v>2.9</v>
      </c>
      <c r="T116" s="18">
        <f t="shared" si="19"/>
        <v>2.9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0</v>
      </c>
      <c r="S117" s="152">
        <f t="shared" si="18"/>
        <v>0</v>
      </c>
      <c r="T117" s="18">
        <f t="shared" si="19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45789</v>
      </c>
      <c r="G118" s="16">
        <v>2.8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2.8</v>
      </c>
      <c r="S118" s="152">
        <f t="shared" si="18"/>
        <v>2.8</v>
      </c>
      <c r="T118" s="18">
        <f t="shared" si="19"/>
        <v>2.8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45803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0.49</v>
      </c>
      <c r="S119" s="152">
        <f t="shared" si="18"/>
        <v>0.49</v>
      </c>
      <c r="T119" s="18">
        <f t="shared" si="19"/>
        <v>0.49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45666</v>
      </c>
      <c r="G120" s="16">
        <v>0.1925</v>
      </c>
      <c r="H120" s="15">
        <v>45827</v>
      </c>
      <c r="I120" s="16">
        <v>0.4325</v>
      </c>
      <c r="J120" s="15">
        <v>46030</v>
      </c>
      <c r="K120" s="16">
        <v>0.21249999999999999</v>
      </c>
      <c r="L120" s="15"/>
      <c r="M120" s="63"/>
      <c r="N120" s="17"/>
      <c r="O120" s="16"/>
      <c r="P120" s="16"/>
      <c r="Q120" s="152">
        <f t="shared" si="16"/>
        <v>0.1925</v>
      </c>
      <c r="R120" s="152">
        <f t="shared" si="17"/>
        <v>0.625</v>
      </c>
      <c r="S120" s="152">
        <f t="shared" si="18"/>
        <v>0.625</v>
      </c>
      <c r="T120" s="18">
        <f t="shared" si="19"/>
        <v>0.83750000000000002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45769</v>
      </c>
      <c r="G121" s="16">
        <v>2.9860000000000002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16"/>
        <v>0</v>
      </c>
      <c r="R121" s="152">
        <f t="shared" si="17"/>
        <v>2.9860000000000002</v>
      </c>
      <c r="S121" s="152">
        <f t="shared" si="18"/>
        <v>2.9860000000000002</v>
      </c>
      <c r="T121" s="18">
        <f t="shared" si="19"/>
        <v>2.9860000000000002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45799</v>
      </c>
      <c r="G122" s="16">
        <v>0.31819999999999998</v>
      </c>
      <c r="H122" s="15">
        <v>45954</v>
      </c>
      <c r="I122" s="16">
        <v>0.47689999999999999</v>
      </c>
      <c r="J122" s="15">
        <v>45995</v>
      </c>
      <c r="K122" s="16">
        <v>7.6999999999999999E-2</v>
      </c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0.31819999999999998</v>
      </c>
      <c r="S122" s="152">
        <f t="shared" si="18"/>
        <v>0.31819999999999998</v>
      </c>
      <c r="T122" s="18">
        <f t="shared" si="19"/>
        <v>0.87209999999999988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</v>
      </c>
      <c r="S123" s="152">
        <f t="shared" si="18"/>
        <v>0</v>
      </c>
      <c r="T123" s="18">
        <f t="shared" si="19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75">
        <v>45749</v>
      </c>
      <c r="G124" s="154">
        <f>0.9*0.96483826</f>
        <v>0.86835443400000001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0.86835443400000001</v>
      </c>
      <c r="S124" s="152">
        <f t="shared" si="18"/>
        <v>0.86835443400000001</v>
      </c>
      <c r="T124" s="18">
        <f t="shared" si="19"/>
        <v>0.86835443400000001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45803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6"/>
        <v>0</v>
      </c>
      <c r="R125" s="152">
        <f t="shared" si="17"/>
        <v>1</v>
      </c>
      <c r="S125" s="152">
        <f t="shared" si="18"/>
        <v>1</v>
      </c>
      <c r="T125" s="18">
        <f t="shared" si="19"/>
        <v>1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45800</v>
      </c>
      <c r="G126" s="16">
        <v>1.44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1.44</v>
      </c>
      <c r="S126" s="152">
        <f t="shared" si="18"/>
        <v>1.44</v>
      </c>
      <c r="T126" s="18">
        <f t="shared" si="19"/>
        <v>1.44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45730</v>
      </c>
      <c r="G127" s="16">
        <v>0.2</v>
      </c>
      <c r="H127" s="15">
        <v>45820</v>
      </c>
      <c r="I127" s="16">
        <v>0.18</v>
      </c>
      <c r="J127" s="15">
        <v>45912</v>
      </c>
      <c r="K127" s="16">
        <v>0.36</v>
      </c>
      <c r="L127" s="15">
        <v>46003</v>
      </c>
      <c r="M127" s="63">
        <v>0.19</v>
      </c>
      <c r="N127" s="17"/>
      <c r="O127" s="16"/>
      <c r="P127" s="47"/>
      <c r="Q127" s="152">
        <f t="shared" si="16"/>
        <v>0.2</v>
      </c>
      <c r="R127" s="152">
        <f t="shared" si="17"/>
        <v>0.38</v>
      </c>
      <c r="S127" s="152">
        <f t="shared" si="18"/>
        <v>0.74</v>
      </c>
      <c r="T127" s="18">
        <f t="shared" si="19"/>
        <v>0.92999999999999994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45775</v>
      </c>
      <c r="G128" s="16">
        <v>0.75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16"/>
        <v>0</v>
      </c>
      <c r="R128" s="152">
        <f t="shared" si="17"/>
        <v>0.75</v>
      </c>
      <c r="S128" s="152">
        <f t="shared" si="18"/>
        <v>0.75</v>
      </c>
      <c r="T128" s="18">
        <f t="shared" si="19"/>
        <v>0.75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45803</v>
      </c>
      <c r="G129" s="16">
        <v>0.34</v>
      </c>
      <c r="H129" s="15">
        <v>45883</v>
      </c>
      <c r="I129" s="16">
        <v>0.31</v>
      </c>
      <c r="J129" s="15"/>
      <c r="K129" s="16"/>
      <c r="L129" s="15"/>
      <c r="M129" s="63"/>
      <c r="N129" s="17"/>
      <c r="O129" s="16"/>
      <c r="P129" s="16"/>
      <c r="Q129" s="152">
        <f t="shared" si="16"/>
        <v>0</v>
      </c>
      <c r="R129" s="152">
        <f t="shared" si="17"/>
        <v>0.34</v>
      </c>
      <c r="S129" s="152">
        <f t="shared" si="18"/>
        <v>0.65</v>
      </c>
      <c r="T129" s="18">
        <f t="shared" si="19"/>
        <v>0.65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45769</v>
      </c>
      <c r="G130" s="16">
        <v>12.8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12.8</v>
      </c>
      <c r="S130" s="152">
        <f t="shared" si="18"/>
        <v>12.8</v>
      </c>
      <c r="T130" s="18">
        <f t="shared" si="19"/>
        <v>12.8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45796</v>
      </c>
      <c r="G131" s="16">
        <v>1.43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1.43</v>
      </c>
      <c r="S131" s="152">
        <f t="shared" si="18"/>
        <v>1.43</v>
      </c>
      <c r="T131" s="18">
        <f t="shared" si="19"/>
        <v>1.43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45770</v>
      </c>
      <c r="G132" s="16">
        <v>4.5999999999999996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4.5999999999999996</v>
      </c>
      <c r="S132" s="152">
        <f t="shared" si="18"/>
        <v>4.5999999999999996</v>
      </c>
      <c r="T132" s="18">
        <f t="shared" si="19"/>
        <v>4.5999999999999996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45740</v>
      </c>
      <c r="G133" s="16">
        <v>70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70</v>
      </c>
      <c r="S133" s="152">
        <f t="shared" si="18"/>
        <v>70</v>
      </c>
      <c r="T133" s="18">
        <f t="shared" si="19"/>
        <v>70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75">
        <v>45737</v>
      </c>
      <c r="G134" s="154">
        <f>9*0.9957483</f>
        <v>8.9617347000000009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8.9617347000000009</v>
      </c>
      <c r="R134" s="152">
        <f t="shared" si="17"/>
        <v>8.9617347000000009</v>
      </c>
      <c r="S134" s="152">
        <f t="shared" si="18"/>
        <v>8.9617347000000009</v>
      </c>
      <c r="T134" s="18">
        <f t="shared" si="19"/>
        <v>8.9617347000000009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45778</v>
      </c>
      <c r="G135" s="16">
        <v>0.05</v>
      </c>
      <c r="H135" s="15">
        <v>45897</v>
      </c>
      <c r="I135" s="16">
        <v>0.05</v>
      </c>
      <c r="J135" s="15"/>
      <c r="K135" s="16"/>
      <c r="L135" s="15"/>
      <c r="M135" s="63"/>
      <c r="N135" s="17"/>
      <c r="O135" s="16"/>
      <c r="P135" s="16"/>
      <c r="Q135" s="152">
        <f t="shared" si="16"/>
        <v>0</v>
      </c>
      <c r="R135" s="152">
        <f t="shared" si="17"/>
        <v>0.05</v>
      </c>
      <c r="S135" s="152">
        <f t="shared" si="18"/>
        <v>0.1</v>
      </c>
      <c r="T135" s="18">
        <f t="shared" si="19"/>
        <v>0.1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45786</v>
      </c>
      <c r="G136" s="16">
        <v>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5</v>
      </c>
      <c r="S136" s="152">
        <f t="shared" si="18"/>
        <v>5</v>
      </c>
      <c r="T136" s="18">
        <f t="shared" si="19"/>
        <v>5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45708</v>
      </c>
      <c r="G137" s="16">
        <v>16</v>
      </c>
      <c r="H137" s="15">
        <v>45792</v>
      </c>
      <c r="I137" s="16">
        <v>16</v>
      </c>
      <c r="J137" s="15">
        <v>45883</v>
      </c>
      <c r="K137" s="16">
        <v>16</v>
      </c>
      <c r="L137" s="15">
        <v>45974</v>
      </c>
      <c r="M137" s="63">
        <v>16</v>
      </c>
      <c r="N137" s="17"/>
      <c r="O137" s="16"/>
      <c r="P137" s="16"/>
      <c r="Q137" s="152">
        <f t="shared" si="16"/>
        <v>16</v>
      </c>
      <c r="R137" s="152">
        <f t="shared" si="17"/>
        <v>32</v>
      </c>
      <c r="S137" s="152">
        <f t="shared" si="18"/>
        <v>48</v>
      </c>
      <c r="T137" s="18">
        <f t="shared" si="19"/>
        <v>64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45793</v>
      </c>
      <c r="G138" s="16">
        <v>3.3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16"/>
        <v>0</v>
      </c>
      <c r="R138" s="152">
        <f t="shared" si="17"/>
        <v>3.3</v>
      </c>
      <c r="S138" s="152">
        <f t="shared" si="18"/>
        <v>3.3</v>
      </c>
      <c r="T138" s="18">
        <f t="shared" si="19"/>
        <v>3.3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45770</v>
      </c>
      <c r="G139" s="16">
        <v>1.17</v>
      </c>
      <c r="H139" s="15">
        <v>45868</v>
      </c>
      <c r="I139" s="16">
        <v>0.74</v>
      </c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1.17</v>
      </c>
      <c r="S139" s="152">
        <f t="shared" si="18"/>
        <v>1.91</v>
      </c>
      <c r="T139" s="18">
        <f t="shared" si="19"/>
        <v>1.91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45776</v>
      </c>
      <c r="G140" s="16">
        <v>2.04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2.04</v>
      </c>
      <c r="S140" s="152">
        <f t="shared" si="18"/>
        <v>2.04</v>
      </c>
      <c r="T140" s="18">
        <f t="shared" si="19"/>
        <v>2.04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45785</v>
      </c>
      <c r="G141" s="16">
        <v>3.4</v>
      </c>
      <c r="H141" s="15">
        <v>45967</v>
      </c>
      <c r="I141" s="16">
        <v>3.4</v>
      </c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3.4</v>
      </c>
      <c r="S141" s="152">
        <f t="shared" si="18"/>
        <v>3.4</v>
      </c>
      <c r="T141" s="18">
        <f t="shared" si="19"/>
        <v>6.8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75">
        <v>45705</v>
      </c>
      <c r="G142" s="154">
        <f>3.5*0.9959008</f>
        <v>3.4856528</v>
      </c>
      <c r="H142" s="175">
        <v>45782</v>
      </c>
      <c r="I142" s="154">
        <f>12.5*0.9959008</f>
        <v>12.44876</v>
      </c>
      <c r="J142" s="15"/>
      <c r="K142" s="16"/>
      <c r="L142" s="15"/>
      <c r="M142" s="63"/>
      <c r="N142" s="17"/>
      <c r="O142" s="16"/>
      <c r="P142" s="16"/>
      <c r="Q142" s="152">
        <f t="shared" si="16"/>
        <v>3.4856528</v>
      </c>
      <c r="R142" s="152">
        <f t="shared" si="17"/>
        <v>15.9344128</v>
      </c>
      <c r="S142" s="152">
        <f t="shared" si="18"/>
        <v>15.9344128</v>
      </c>
      <c r="T142" s="18">
        <f t="shared" si="19"/>
        <v>15.9344128</v>
      </c>
    </row>
    <row r="143" spans="2:20" x14ac:dyDescent="0.2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45783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16"/>
        <v>0</v>
      </c>
      <c r="R143" s="152">
        <f t="shared" si="17"/>
        <v>0.14000000000000001</v>
      </c>
      <c r="S143" s="152">
        <f t="shared" si="18"/>
        <v>0.14000000000000001</v>
      </c>
      <c r="T143" s="18">
        <f t="shared" si="19"/>
        <v>0.14000000000000001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45722</v>
      </c>
      <c r="G144" s="16">
        <v>0.36</v>
      </c>
      <c r="H144" s="15">
        <v>45785</v>
      </c>
      <c r="I144" s="16">
        <v>0.1</v>
      </c>
      <c r="J144" s="15">
        <v>45883</v>
      </c>
      <c r="K144" s="16">
        <v>0.1</v>
      </c>
      <c r="L144" s="15">
        <v>45967</v>
      </c>
      <c r="M144" s="63">
        <v>0.1</v>
      </c>
      <c r="N144" s="17"/>
      <c r="O144" s="16"/>
      <c r="P144" s="16"/>
      <c r="Q144" s="152">
        <f t="shared" ref="Q144:Q207" si="20">IF(F144&lt;=Exp25Q1,G144,0)+IF(H144&lt;=Exp25Q1,I144,0)+IF(J144&lt;=Exp25Q1,K144,0)+IF(L144&lt;=Exp25Q1,M144,0)+IF(N144&lt;=Exp25Q1,O144,0)</f>
        <v>0.36</v>
      </c>
      <c r="R144" s="152">
        <f t="shared" ref="R144:R207" si="21">IF(F144&lt;=Exp25H1,G144,0)+IF(H144&lt;=Exp25H1,I144,0)+IF(J144&lt;=Exp25H1,K144,0)+IF(L144&lt;=Exp25H1,M144,0)+IF(N144&lt;=Exp25H1,O144,0)</f>
        <v>0.45999999999999996</v>
      </c>
      <c r="S144" s="152">
        <f t="shared" ref="S144:S207" si="22">IF(F144&lt;=Exp25Q3,G144,0)+IF(H144&lt;=Exp25Q3,I144,0)+IF(J144&lt;=Exp25Q3,K144,0)+IF(L144&lt;=Exp25Q3,M144,0)+IF(N144&lt;=Exp25Q3,O144,0)</f>
        <v>0.55999999999999994</v>
      </c>
      <c r="T144" s="18">
        <f t="shared" ref="T144:T207" si="23">G144+I144+K144+M144+O144</f>
        <v>0.65999999999999992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45708</v>
      </c>
      <c r="G145" s="16">
        <v>54.26</v>
      </c>
      <c r="H145" s="15">
        <v>45799</v>
      </c>
      <c r="I145" s="16">
        <v>40.08</v>
      </c>
      <c r="J145" s="15">
        <v>45890</v>
      </c>
      <c r="K145" s="16">
        <v>40.08</v>
      </c>
      <c r="L145" s="15">
        <v>45988</v>
      </c>
      <c r="M145" s="63">
        <v>40.08</v>
      </c>
      <c r="N145" s="17"/>
      <c r="O145" s="16"/>
      <c r="P145" s="16"/>
      <c r="Q145" s="152">
        <f t="shared" si="20"/>
        <v>54.26</v>
      </c>
      <c r="R145" s="152">
        <f t="shared" si="21"/>
        <v>94.34</v>
      </c>
      <c r="S145" s="152">
        <f t="shared" si="22"/>
        <v>134.42000000000002</v>
      </c>
      <c r="T145" s="18">
        <f t="shared" si="23"/>
        <v>174.5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75">
        <v>45776</v>
      </c>
      <c r="G146" s="154">
        <f>0.84*0.98875945</f>
        <v>0.830557938</v>
      </c>
      <c r="H146" s="175">
        <v>45959</v>
      </c>
      <c r="I146" s="154">
        <f>0.29*0.98875945</f>
        <v>0.28674024049999997</v>
      </c>
      <c r="J146" s="15"/>
      <c r="K146" s="16"/>
      <c r="L146" s="15"/>
      <c r="M146" s="63"/>
      <c r="N146" s="17"/>
      <c r="O146" s="16"/>
      <c r="P146" s="16"/>
      <c r="Q146" s="152">
        <f t="shared" si="20"/>
        <v>0</v>
      </c>
      <c r="R146" s="152">
        <f t="shared" si="21"/>
        <v>0.830557938</v>
      </c>
      <c r="S146" s="152">
        <f t="shared" si="22"/>
        <v>0.830557938</v>
      </c>
      <c r="T146" s="18">
        <f t="shared" si="23"/>
        <v>1.1172981785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45709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0"/>
        <v>0.35</v>
      </c>
      <c r="R147" s="152">
        <f t="shared" si="21"/>
        <v>0.35</v>
      </c>
      <c r="S147" s="152">
        <f t="shared" si="22"/>
        <v>0.35</v>
      </c>
      <c r="T147" s="18">
        <f t="shared" si="23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45771</v>
      </c>
      <c r="G148" s="16">
        <v>0.71</v>
      </c>
      <c r="H148" s="15">
        <v>45873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0"/>
        <v>0</v>
      </c>
      <c r="R148" s="152">
        <f t="shared" si="21"/>
        <v>0.71</v>
      </c>
      <c r="S148" s="152">
        <f t="shared" si="22"/>
        <v>1.06</v>
      </c>
      <c r="T148" s="18">
        <f t="shared" si="23"/>
        <v>1.06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45796</v>
      </c>
      <c r="G149" s="16">
        <v>0.17100000000000001</v>
      </c>
      <c r="H149" s="15">
        <v>45985</v>
      </c>
      <c r="I149" s="16">
        <v>0.186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0.17100000000000001</v>
      </c>
      <c r="S149" s="152">
        <f t="shared" si="22"/>
        <v>0.17100000000000001</v>
      </c>
      <c r="T149" s="18">
        <f t="shared" si="23"/>
        <v>0.35699999999999998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45785</v>
      </c>
      <c r="G150" s="16">
        <v>3.75</v>
      </c>
      <c r="H150" s="15">
        <v>45968</v>
      </c>
      <c r="I150" s="16">
        <v>1.45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3.75</v>
      </c>
      <c r="S150" s="152">
        <f t="shared" si="22"/>
        <v>3.75</v>
      </c>
      <c r="T150" s="18">
        <f t="shared" si="23"/>
        <v>5.2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45790</v>
      </c>
      <c r="G151" s="16">
        <v>0.59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0.59</v>
      </c>
      <c r="S151" s="152">
        <f t="shared" si="22"/>
        <v>0.59</v>
      </c>
      <c r="T151" s="18">
        <f t="shared" si="23"/>
        <v>0.59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45761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2.6</v>
      </c>
      <c r="S152" s="152">
        <f t="shared" si="22"/>
        <v>2.6</v>
      </c>
      <c r="T152" s="18">
        <f t="shared" si="23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45792</v>
      </c>
      <c r="G153" s="16">
        <v>0.15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0.15</v>
      </c>
      <c r="S153" s="152">
        <f t="shared" si="22"/>
        <v>0.15</v>
      </c>
      <c r="T153" s="18">
        <f t="shared" si="23"/>
        <v>0.15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45783</v>
      </c>
      <c r="G154" s="16">
        <v>3.15</v>
      </c>
      <c r="H154" s="15">
        <v>45966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3.15</v>
      </c>
      <c r="S154" s="152">
        <f t="shared" si="22"/>
        <v>3.15</v>
      </c>
      <c r="T154" s="18">
        <f t="shared" si="23"/>
        <v>4.1500000000000004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45671</v>
      </c>
      <c r="G155" s="16">
        <v>2</v>
      </c>
      <c r="H155" s="15">
        <v>45782</v>
      </c>
      <c r="I155" s="16">
        <v>4</v>
      </c>
      <c r="J155" s="15"/>
      <c r="K155" s="16"/>
      <c r="L155" s="15"/>
      <c r="M155" s="63"/>
      <c r="N155" s="17"/>
      <c r="O155" s="16"/>
      <c r="P155" s="16"/>
      <c r="Q155" s="152">
        <f t="shared" si="20"/>
        <v>2</v>
      </c>
      <c r="R155" s="152">
        <f t="shared" si="21"/>
        <v>6</v>
      </c>
      <c r="S155" s="152">
        <f t="shared" si="22"/>
        <v>6</v>
      </c>
      <c r="T155" s="18">
        <f t="shared" si="23"/>
        <v>6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45670</v>
      </c>
      <c r="G156" s="16">
        <v>0.25</v>
      </c>
      <c r="H156" s="15">
        <v>45741</v>
      </c>
      <c r="I156" s="16">
        <v>0.23</v>
      </c>
      <c r="J156" s="15">
        <v>45852</v>
      </c>
      <c r="K156" s="16">
        <v>0.22</v>
      </c>
      <c r="L156" s="15">
        <v>45943</v>
      </c>
      <c r="M156" s="63">
        <v>0.23</v>
      </c>
      <c r="N156" s="17"/>
      <c r="O156" s="16"/>
      <c r="P156" s="16"/>
      <c r="Q156" s="152">
        <f t="shared" si="20"/>
        <v>0.25</v>
      </c>
      <c r="R156" s="152">
        <f t="shared" si="21"/>
        <v>0.48</v>
      </c>
      <c r="S156" s="152">
        <f t="shared" si="22"/>
        <v>0.7</v>
      </c>
      <c r="T156" s="18">
        <f t="shared" si="23"/>
        <v>0.92999999999999994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0"/>
        <v>0</v>
      </c>
      <c r="R157" s="152">
        <f t="shared" si="21"/>
        <v>0</v>
      </c>
      <c r="S157" s="152">
        <f t="shared" si="22"/>
        <v>0</v>
      </c>
      <c r="T157" s="18">
        <f t="shared" si="23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45720</v>
      </c>
      <c r="G158" s="16">
        <v>0.92500000000000004</v>
      </c>
      <c r="H158" s="15">
        <v>45846</v>
      </c>
      <c r="I158" s="16">
        <v>0.92500000000000004</v>
      </c>
      <c r="J158" s="15"/>
      <c r="K158" s="16"/>
      <c r="L158" s="15"/>
      <c r="M158" s="63"/>
      <c r="N158" s="17"/>
      <c r="O158" s="16"/>
      <c r="P158" s="16"/>
      <c r="Q158" s="152">
        <f t="shared" si="20"/>
        <v>0.92500000000000004</v>
      </c>
      <c r="R158" s="152">
        <f t="shared" si="21"/>
        <v>0.92500000000000004</v>
      </c>
      <c r="S158" s="152">
        <f t="shared" si="22"/>
        <v>1.85</v>
      </c>
      <c r="T158" s="18">
        <f t="shared" si="23"/>
        <v>1.85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45722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0"/>
        <v>1.8</v>
      </c>
      <c r="R159" s="152">
        <f t="shared" si="21"/>
        <v>1.8</v>
      </c>
      <c r="S159" s="152">
        <f t="shared" si="22"/>
        <v>1.8</v>
      </c>
      <c r="T159" s="18">
        <f t="shared" si="23"/>
        <v>1.8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45769</v>
      </c>
      <c r="G160" s="16">
        <v>0.10199999999999999</v>
      </c>
      <c r="H160" s="15">
        <v>45863</v>
      </c>
      <c r="I160" s="16">
        <v>7.2999999999999995E-2</v>
      </c>
      <c r="J160" s="15"/>
      <c r="K160" s="16"/>
      <c r="L160" s="15"/>
      <c r="M160" s="63"/>
      <c r="N160" s="17"/>
      <c r="O160" s="16"/>
      <c r="P160" s="47"/>
      <c r="Q160" s="152">
        <f t="shared" si="20"/>
        <v>0</v>
      </c>
      <c r="R160" s="152">
        <f t="shared" si="21"/>
        <v>0.10199999999999999</v>
      </c>
      <c r="S160" s="152">
        <f t="shared" si="22"/>
        <v>0.17499999999999999</v>
      </c>
      <c r="T160" s="18">
        <f t="shared" si="23"/>
        <v>0.17499999999999999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45771</v>
      </c>
      <c r="G161" s="16">
        <v>15.36</v>
      </c>
      <c r="H161" s="15">
        <v>45890</v>
      </c>
      <c r="I161" s="16">
        <v>6.12</v>
      </c>
      <c r="J161" s="15"/>
      <c r="K161" s="16"/>
      <c r="L161" s="15"/>
      <c r="M161" s="63"/>
      <c r="N161" s="17"/>
      <c r="O161" s="16"/>
      <c r="P161" s="16"/>
      <c r="Q161" s="152">
        <f t="shared" si="20"/>
        <v>0</v>
      </c>
      <c r="R161" s="152">
        <f t="shared" si="21"/>
        <v>15.36</v>
      </c>
      <c r="S161" s="152">
        <f t="shared" si="22"/>
        <v>21.48</v>
      </c>
      <c r="T161" s="18">
        <f t="shared" si="23"/>
        <v>21.48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45806</v>
      </c>
      <c r="G162" s="16">
        <v>2.2000000000000002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2.2000000000000002</v>
      </c>
      <c r="S162" s="152">
        <f t="shared" si="22"/>
        <v>2.2000000000000002</v>
      </c>
      <c r="T162" s="18">
        <f t="shared" si="23"/>
        <v>2.2000000000000002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45757</v>
      </c>
      <c r="G163" s="16">
        <v>2.11</v>
      </c>
      <c r="H163" s="15">
        <v>45869</v>
      </c>
      <c r="I163" s="16">
        <v>1.22</v>
      </c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2.11</v>
      </c>
      <c r="S163" s="152">
        <f t="shared" si="22"/>
        <v>3.33</v>
      </c>
      <c r="T163" s="18">
        <f t="shared" si="23"/>
        <v>3.33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45922</v>
      </c>
      <c r="G164" s="16">
        <v>1.26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0</v>
      </c>
      <c r="S164" s="152">
        <f t="shared" si="22"/>
        <v>0</v>
      </c>
      <c r="T164" s="18">
        <f t="shared" si="23"/>
        <v>1.26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45790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4</v>
      </c>
      <c r="S165" s="152">
        <f t="shared" si="22"/>
        <v>4</v>
      </c>
      <c r="T165" s="18">
        <f t="shared" si="23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45782</v>
      </c>
      <c r="G166" s="16">
        <v>7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7</v>
      </c>
      <c r="S166" s="152">
        <f t="shared" si="22"/>
        <v>7</v>
      </c>
      <c r="T166" s="18">
        <f t="shared" si="23"/>
        <v>7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45771</v>
      </c>
      <c r="G167" s="16">
        <v>7.5</v>
      </c>
      <c r="H167" s="15">
        <v>45993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7.5</v>
      </c>
      <c r="S167" s="152">
        <f t="shared" si="22"/>
        <v>7.5</v>
      </c>
      <c r="T167" s="18">
        <f t="shared" si="23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45722</v>
      </c>
      <c r="G168" s="16">
        <v>1.5E-3</v>
      </c>
      <c r="H168" s="15">
        <v>45804</v>
      </c>
      <c r="I168" s="16">
        <v>9.5200000000000007E-2</v>
      </c>
      <c r="J168" s="15">
        <v>45987</v>
      </c>
      <c r="K168" s="16">
        <v>7.0400000000000004E-2</v>
      </c>
      <c r="L168" s="15"/>
      <c r="M168" s="63"/>
      <c r="N168" s="17"/>
      <c r="O168" s="16"/>
      <c r="P168" s="16"/>
      <c r="Q168" s="152">
        <f t="shared" si="20"/>
        <v>1.5E-3</v>
      </c>
      <c r="R168" s="152">
        <f t="shared" si="21"/>
        <v>9.6700000000000008E-2</v>
      </c>
      <c r="S168" s="152">
        <f t="shared" si="22"/>
        <v>9.6700000000000008E-2</v>
      </c>
      <c r="T168" s="18">
        <f t="shared" si="23"/>
        <v>0.16710000000000003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45785</v>
      </c>
      <c r="G169" s="16">
        <v>4.3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20"/>
        <v>0</v>
      </c>
      <c r="R169" s="152">
        <f t="shared" si="21"/>
        <v>4.3</v>
      </c>
      <c r="S169" s="152">
        <f t="shared" si="22"/>
        <v>4.3</v>
      </c>
      <c r="T169" s="18">
        <f t="shared" si="23"/>
        <v>4.3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45775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2.2000000000000002</v>
      </c>
      <c r="S170" s="152">
        <f t="shared" si="22"/>
        <v>2.2000000000000002</v>
      </c>
      <c r="T170" s="18">
        <f t="shared" si="23"/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45772</v>
      </c>
      <c r="G171" s="16">
        <v>0.19</v>
      </c>
      <c r="H171" s="15">
        <v>45953</v>
      </c>
      <c r="I171" s="16">
        <v>0.19</v>
      </c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0.19</v>
      </c>
      <c r="S171" s="152">
        <f t="shared" si="22"/>
        <v>0.19</v>
      </c>
      <c r="T171" s="18">
        <f t="shared" si="23"/>
        <v>0.38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45798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1.38</v>
      </c>
      <c r="S172" s="152">
        <f t="shared" si="22"/>
        <v>1.38</v>
      </c>
      <c r="T172" s="18">
        <f t="shared" si="23"/>
        <v>1.38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45709</v>
      </c>
      <c r="G173" s="16">
        <v>2</v>
      </c>
      <c r="H173" s="15">
        <v>45800</v>
      </c>
      <c r="I173" s="16">
        <v>1.7</v>
      </c>
      <c r="J173" s="15">
        <v>45898</v>
      </c>
      <c r="K173" s="16">
        <v>1.45</v>
      </c>
      <c r="L173" s="15">
        <v>45975</v>
      </c>
      <c r="M173" s="63">
        <v>1.5</v>
      </c>
      <c r="N173" s="17"/>
      <c r="O173" s="16"/>
      <c r="P173" s="16"/>
      <c r="Q173" s="152">
        <f t="shared" si="20"/>
        <v>2</v>
      </c>
      <c r="R173" s="152">
        <f t="shared" si="21"/>
        <v>3.7</v>
      </c>
      <c r="S173" s="152">
        <f t="shared" si="22"/>
        <v>5.15</v>
      </c>
      <c r="T173" s="18">
        <f t="shared" si="23"/>
        <v>6.65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45779</v>
      </c>
      <c r="G174" s="16">
        <v>20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0"/>
        <v>0</v>
      </c>
      <c r="R174" s="152">
        <f t="shared" si="21"/>
        <v>20</v>
      </c>
      <c r="S174" s="152">
        <f t="shared" si="22"/>
        <v>20</v>
      </c>
      <c r="T174" s="18">
        <f t="shared" si="23"/>
        <v>20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45806</v>
      </c>
      <c r="G175" s="16">
        <v>30.88</v>
      </c>
      <c r="H175" s="15">
        <v>45981</v>
      </c>
      <c r="I175" s="16">
        <v>16.350000000000001</v>
      </c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30.88</v>
      </c>
      <c r="S175" s="152">
        <f t="shared" si="22"/>
        <v>30.88</v>
      </c>
      <c r="T175" s="18">
        <f t="shared" si="23"/>
        <v>47.230000000000004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45754</v>
      </c>
      <c r="G176" s="16">
        <v>0.6</v>
      </c>
      <c r="H176" s="15">
        <v>45866</v>
      </c>
      <c r="I176" s="16">
        <v>0.6</v>
      </c>
      <c r="J176" s="15">
        <v>45964</v>
      </c>
      <c r="K176" s="16">
        <v>0.6</v>
      </c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0.6</v>
      </c>
      <c r="S176" s="152">
        <f t="shared" si="22"/>
        <v>1.2</v>
      </c>
      <c r="T176" s="18">
        <f t="shared" si="23"/>
        <v>1.7999999999999998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45742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 t="shared" si="20"/>
        <v>0</v>
      </c>
      <c r="R177" s="152">
        <f t="shared" si="21"/>
        <v>0.2</v>
      </c>
      <c r="S177" s="152">
        <f t="shared" si="22"/>
        <v>0.2</v>
      </c>
      <c r="T177" s="18">
        <f t="shared" si="23"/>
        <v>0.2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45769</v>
      </c>
      <c r="G178" s="16">
        <v>3.05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0"/>
        <v>0</v>
      </c>
      <c r="R178" s="152">
        <f t="shared" si="21"/>
        <v>3.05</v>
      </c>
      <c r="S178" s="152">
        <f t="shared" si="22"/>
        <v>3.05</v>
      </c>
      <c r="T178" s="18">
        <f t="shared" si="23"/>
        <v>3.05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45796</v>
      </c>
      <c r="G179" s="16">
        <v>2.6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2.6</v>
      </c>
      <c r="S179" s="152">
        <f t="shared" si="22"/>
        <v>2.6</v>
      </c>
      <c r="T179" s="18">
        <f t="shared" si="23"/>
        <v>2.6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45796</v>
      </c>
      <c r="G180" s="16">
        <v>2.16</v>
      </c>
      <c r="H180" s="15">
        <v>45881</v>
      </c>
      <c r="I180" s="16">
        <v>1.38</v>
      </c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2.16</v>
      </c>
      <c r="S180" s="152">
        <f t="shared" si="22"/>
        <v>3.54</v>
      </c>
      <c r="T180" s="18">
        <f t="shared" si="23"/>
        <v>3.54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45691</v>
      </c>
      <c r="G181" s="16">
        <v>0.03</v>
      </c>
      <c r="H181" s="15">
        <v>45779</v>
      </c>
      <c r="I181" s="16">
        <v>0.04</v>
      </c>
      <c r="J181" s="15">
        <v>45866</v>
      </c>
      <c r="K181" s="16">
        <v>0.04</v>
      </c>
      <c r="L181" s="15">
        <v>45957</v>
      </c>
      <c r="M181" s="63">
        <v>0.03</v>
      </c>
      <c r="N181" s="17"/>
      <c r="O181" s="16"/>
      <c r="P181" s="47"/>
      <c r="Q181" s="152">
        <f t="shared" si="20"/>
        <v>0.03</v>
      </c>
      <c r="R181" s="152">
        <f t="shared" si="21"/>
        <v>7.0000000000000007E-2</v>
      </c>
      <c r="S181" s="152">
        <f t="shared" si="22"/>
        <v>0.11000000000000001</v>
      </c>
      <c r="T181" s="18">
        <f t="shared" si="23"/>
        <v>0.14000000000000001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45785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0"/>
        <v>0</v>
      </c>
      <c r="R182" s="152">
        <f t="shared" si="21"/>
        <v>0.25</v>
      </c>
      <c r="S182" s="152">
        <f t="shared" si="22"/>
        <v>0.25</v>
      </c>
      <c r="T182" s="18">
        <f t="shared" si="23"/>
        <v>0.25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45737</v>
      </c>
      <c r="G183" s="16">
        <v>0.94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0.94</v>
      </c>
      <c r="R183" s="152">
        <f t="shared" si="21"/>
        <v>0.94</v>
      </c>
      <c r="S183" s="152">
        <f t="shared" si="22"/>
        <v>0.94</v>
      </c>
      <c r="T183" s="18">
        <f t="shared" si="23"/>
        <v>0.94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45789</v>
      </c>
      <c r="G184" s="16">
        <v>2.25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</v>
      </c>
      <c r="R184" s="152">
        <f t="shared" si="21"/>
        <v>2.25</v>
      </c>
      <c r="S184" s="152">
        <f t="shared" si="22"/>
        <v>2.25</v>
      </c>
      <c r="T184" s="18">
        <f t="shared" si="23"/>
        <v>2.25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45727</v>
      </c>
      <c r="G185" s="16">
        <v>3.5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0"/>
        <v>3.5</v>
      </c>
      <c r="R185" s="152">
        <f t="shared" si="21"/>
        <v>3.5</v>
      </c>
      <c r="S185" s="152">
        <f t="shared" si="22"/>
        <v>3.5</v>
      </c>
      <c r="T185" s="18">
        <f t="shared" si="23"/>
        <v>3.5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75">
        <v>45812</v>
      </c>
      <c r="G186" s="154">
        <f>3.05*0.9621802</f>
        <v>2.9346496100000001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0</v>
      </c>
      <c r="R186" s="152">
        <f t="shared" si="21"/>
        <v>2.9346496100000001</v>
      </c>
      <c r="S186" s="152">
        <f t="shared" si="22"/>
        <v>2.9346496100000001</v>
      </c>
      <c r="T186" s="18">
        <f t="shared" si="23"/>
        <v>2.9346496100000001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45811</v>
      </c>
      <c r="G187" s="16">
        <v>0.45</v>
      </c>
      <c r="H187" s="15">
        <v>45993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0.45</v>
      </c>
      <c r="S187" s="152">
        <f t="shared" si="22"/>
        <v>0.45</v>
      </c>
      <c r="T187" s="18">
        <f t="shared" si="23"/>
        <v>0.75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75">
        <v>45772</v>
      </c>
      <c r="G188" s="154">
        <f>4*0.9488491</f>
        <v>3.7953964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3.7953964</v>
      </c>
      <c r="S188" s="152">
        <f t="shared" si="22"/>
        <v>3.7953964</v>
      </c>
      <c r="T188" s="18">
        <f t="shared" si="23"/>
        <v>3.7953964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45800</v>
      </c>
      <c r="G189" s="16">
        <v>42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42</v>
      </c>
      <c r="S189" s="152">
        <f t="shared" si="22"/>
        <v>42</v>
      </c>
      <c r="T189" s="18">
        <f t="shared" si="23"/>
        <v>42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45736</v>
      </c>
      <c r="G190" s="16">
        <v>16.600000000000001</v>
      </c>
      <c r="H190" s="15">
        <v>45883</v>
      </c>
      <c r="I190" s="16">
        <v>7.8</v>
      </c>
      <c r="J190" s="15"/>
      <c r="K190" s="16"/>
      <c r="L190" s="15"/>
      <c r="M190" s="63"/>
      <c r="N190" s="17"/>
      <c r="O190" s="16"/>
      <c r="P190" s="16"/>
      <c r="Q190" s="152">
        <f t="shared" si="20"/>
        <v>16.600000000000001</v>
      </c>
      <c r="R190" s="152">
        <f t="shared" si="21"/>
        <v>16.600000000000001</v>
      </c>
      <c r="S190" s="152">
        <f t="shared" si="22"/>
        <v>24.400000000000002</v>
      </c>
      <c r="T190" s="18">
        <f t="shared" si="23"/>
        <v>24.400000000000002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45861</v>
      </c>
      <c r="G191" s="16">
        <v>2.35</v>
      </c>
      <c r="H191" s="15">
        <v>45985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0"/>
        <v>0</v>
      </c>
      <c r="R191" s="152">
        <f t="shared" si="21"/>
        <v>0</v>
      </c>
      <c r="S191" s="152">
        <f t="shared" si="22"/>
        <v>2.35</v>
      </c>
      <c r="T191" s="18">
        <f t="shared" si="23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45789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0.85</v>
      </c>
      <c r="S192" s="152">
        <f t="shared" si="22"/>
        <v>0.85</v>
      </c>
      <c r="T192" s="18">
        <f t="shared" si="23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45831</v>
      </c>
      <c r="G193" s="16">
        <v>0.75</v>
      </c>
      <c r="H193" s="15">
        <v>45985</v>
      </c>
      <c r="I193" s="16">
        <v>0.4</v>
      </c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</v>
      </c>
      <c r="S193" s="152">
        <f t="shared" si="22"/>
        <v>0.75</v>
      </c>
      <c r="T193" s="18">
        <f t="shared" si="23"/>
        <v>1.1499999999999999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45764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0.04</v>
      </c>
      <c r="S194" s="152">
        <f t="shared" si="22"/>
        <v>0.04</v>
      </c>
      <c r="T194" s="18">
        <f t="shared" si="23"/>
        <v>0.04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45806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0.05</v>
      </c>
      <c r="S195" s="152">
        <f t="shared" si="22"/>
        <v>0.05</v>
      </c>
      <c r="T195" s="18">
        <f t="shared" si="23"/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45770</v>
      </c>
      <c r="G196" s="16">
        <v>0.1</v>
      </c>
      <c r="H196" s="15">
        <v>45994</v>
      </c>
      <c r="I196" s="16">
        <v>0.3</v>
      </c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0.1</v>
      </c>
      <c r="S196" s="152">
        <f t="shared" si="22"/>
        <v>0.1</v>
      </c>
      <c r="T196" s="18">
        <f t="shared" si="23"/>
        <v>0.4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45743</v>
      </c>
      <c r="G197" s="16">
        <v>0.16289999999999999</v>
      </c>
      <c r="H197" s="15">
        <v>45904</v>
      </c>
      <c r="I197" s="16">
        <v>7.7100000000000002E-2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0.16289999999999999</v>
      </c>
      <c r="S197" s="152">
        <f t="shared" si="22"/>
        <v>0.24</v>
      </c>
      <c r="T197" s="18">
        <f t="shared" si="23"/>
        <v>0.24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45839</v>
      </c>
      <c r="G198" s="16">
        <v>3.6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</v>
      </c>
      <c r="S198" s="152">
        <f t="shared" si="22"/>
        <v>3.6</v>
      </c>
      <c r="T198" s="18">
        <f t="shared" si="23"/>
        <v>3.6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45747</v>
      </c>
      <c r="G199" s="16">
        <v>1.1000000000000001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1.1000000000000001</v>
      </c>
      <c r="S199" s="152">
        <f t="shared" si="22"/>
        <v>1.1000000000000001</v>
      </c>
      <c r="T199" s="18">
        <f t="shared" si="23"/>
        <v>1.1000000000000001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45744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1.62</v>
      </c>
      <c r="S200" s="152">
        <f t="shared" si="22"/>
        <v>1.62</v>
      </c>
      <c r="T200" s="18">
        <f t="shared" si="23"/>
        <v>1.62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45757</v>
      </c>
      <c r="G201" s="16">
        <v>121.7</v>
      </c>
      <c r="H201" s="15">
        <v>45876</v>
      </c>
      <c r="I201" s="16">
        <v>84.4</v>
      </c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121.7</v>
      </c>
      <c r="S201" s="152">
        <f t="shared" si="22"/>
        <v>206.10000000000002</v>
      </c>
      <c r="T201" s="18">
        <f t="shared" si="23"/>
        <v>206.10000000000002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45660</v>
      </c>
      <c r="G202" s="16">
        <v>0.2</v>
      </c>
      <c r="H202" s="15">
        <v>45842</v>
      </c>
      <c r="I202" s="16">
        <v>0.6</v>
      </c>
      <c r="J202" s="15"/>
      <c r="K202" s="16"/>
      <c r="L202" s="15"/>
      <c r="M202" s="63"/>
      <c r="N202" s="17"/>
      <c r="O202" s="16"/>
      <c r="P202" s="16"/>
      <c r="Q202" s="152">
        <f t="shared" si="20"/>
        <v>0.2</v>
      </c>
      <c r="R202" s="152">
        <f t="shared" si="21"/>
        <v>0.2</v>
      </c>
      <c r="S202" s="152">
        <f t="shared" si="22"/>
        <v>0.8</v>
      </c>
      <c r="T202" s="18">
        <f t="shared" si="23"/>
        <v>0.8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45785</v>
      </c>
      <c r="G203" s="16">
        <v>0.53100000000000003</v>
      </c>
      <c r="H203" s="15">
        <v>45876</v>
      </c>
      <c r="I203" s="16">
        <f>0.195/0.8717</f>
        <v>0.22370081450040152</v>
      </c>
      <c r="J203" s="15"/>
      <c r="K203" s="16"/>
      <c r="L203" s="15"/>
      <c r="M203" s="63"/>
      <c r="N203" s="17"/>
      <c r="O203" s="16"/>
      <c r="P203" s="16"/>
      <c r="Q203" s="152">
        <f t="shared" si="20"/>
        <v>0</v>
      </c>
      <c r="R203" s="152">
        <f t="shared" si="21"/>
        <v>0.53100000000000003</v>
      </c>
      <c r="S203" s="152">
        <f t="shared" si="22"/>
        <v>0.7547008145004015</v>
      </c>
      <c r="T203" s="18">
        <f t="shared" si="23"/>
        <v>0.7547008145004015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45785</v>
      </c>
      <c r="G204" s="16">
        <v>44.8</v>
      </c>
      <c r="H204" s="15">
        <v>45876</v>
      </c>
      <c r="I204" s="16">
        <v>19.5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44.8</v>
      </c>
      <c r="S204" s="152">
        <f t="shared" si="22"/>
        <v>64.3</v>
      </c>
      <c r="T204" s="18">
        <f t="shared" si="23"/>
        <v>64.3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45785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2.2000000000000002</v>
      </c>
      <c r="S205" s="152">
        <f t="shared" si="22"/>
        <v>2.2000000000000002</v>
      </c>
      <c r="T205" s="18">
        <f t="shared" si="23"/>
        <v>2.2000000000000002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45667</v>
      </c>
      <c r="G206" s="16">
        <v>0.47499999999999998</v>
      </c>
      <c r="H206" s="15">
        <v>45842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0"/>
        <v>0.47499999999999998</v>
      </c>
      <c r="R206" s="152">
        <f t="shared" si="21"/>
        <v>0.47499999999999998</v>
      </c>
      <c r="S206" s="152">
        <f t="shared" si="22"/>
        <v>0.97499999999999998</v>
      </c>
      <c r="T206" s="18">
        <f t="shared" si="23"/>
        <v>0.97499999999999998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45722</v>
      </c>
      <c r="G207" s="16">
        <f>2.25/1.0694*0.835*100</f>
        <v>175.68262577146064</v>
      </c>
      <c r="H207" s="15">
        <v>45883</v>
      </c>
      <c r="I207" s="16">
        <f>1.48*100/1.1711*0.8631</f>
        <v>109.07591153616258</v>
      </c>
      <c r="J207" s="15"/>
      <c r="K207" s="16"/>
      <c r="L207" s="15"/>
      <c r="M207" s="63"/>
      <c r="N207" s="17"/>
      <c r="O207" s="16"/>
      <c r="P207" s="16"/>
      <c r="Q207" s="152">
        <f t="shared" si="20"/>
        <v>175.68262577146064</v>
      </c>
      <c r="R207" s="152">
        <f t="shared" si="21"/>
        <v>175.68262577146064</v>
      </c>
      <c r="S207" s="152">
        <f t="shared" si="22"/>
        <v>284.75853730762321</v>
      </c>
      <c r="T207" s="18">
        <f t="shared" si="23"/>
        <v>284.75853730762321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45743</v>
      </c>
      <c r="G208" s="16">
        <v>9.6999999999999993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ref="Q208:Q270" si="24">IF(F208&lt;=Exp25Q1,G208,0)+IF(H208&lt;=Exp25Q1,I208,0)+IF(J208&lt;=Exp25Q1,K208,0)+IF(L208&lt;=Exp25Q1,M208,0)+IF(N208&lt;=Exp25Q1,O208,0)</f>
        <v>0</v>
      </c>
      <c r="R208" s="152">
        <f t="shared" ref="R208:R270" si="25">IF(F208&lt;=Exp25H1,G208,0)+IF(H208&lt;=Exp25H1,I208,0)+IF(J208&lt;=Exp25H1,K208,0)+IF(L208&lt;=Exp25H1,M208,0)+IF(N208&lt;=Exp25H1,O208,0)</f>
        <v>9.6999999999999993</v>
      </c>
      <c r="S208" s="152">
        <f t="shared" ref="S208:S270" si="26">IF(F208&lt;=Exp25Q3,G208,0)+IF(H208&lt;=Exp25Q3,I208,0)+IF(J208&lt;=Exp25Q3,K208,0)+IF(L208&lt;=Exp25Q3,M208,0)+IF(N208&lt;=Exp25Q3,O208,0)</f>
        <v>9.6999999999999993</v>
      </c>
      <c r="T208" s="18">
        <f t="shared" ref="T208:T270" si="27">G208+I208+K208+M208+O208</f>
        <v>9.6999999999999993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45764</v>
      </c>
      <c r="G209" s="16">
        <v>6</v>
      </c>
      <c r="H209" s="15">
        <v>45876</v>
      </c>
      <c r="I209" s="16">
        <v>4.5</v>
      </c>
      <c r="J209" s="15"/>
      <c r="K209" s="16"/>
      <c r="L209" s="15"/>
      <c r="M209" s="63"/>
      <c r="N209" s="17"/>
      <c r="O209" s="16"/>
      <c r="P209" s="16"/>
      <c r="Q209" s="152">
        <f t="shared" si="24"/>
        <v>0</v>
      </c>
      <c r="R209" s="152">
        <f t="shared" si="25"/>
        <v>6</v>
      </c>
      <c r="S209" s="152">
        <f t="shared" si="26"/>
        <v>10.5</v>
      </c>
      <c r="T209" s="18">
        <f t="shared" si="27"/>
        <v>10.5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45779</v>
      </c>
      <c r="G210" s="16">
        <v>1.1000000000000001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1.1000000000000001</v>
      </c>
      <c r="S210" s="152">
        <f t="shared" si="26"/>
        <v>1.1000000000000001</v>
      </c>
      <c r="T210" s="18">
        <f t="shared" si="27"/>
        <v>1.1000000000000001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45804</v>
      </c>
      <c r="G211" s="16">
        <v>2.9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2.9</v>
      </c>
      <c r="S211" s="152">
        <f t="shared" si="26"/>
        <v>2.9</v>
      </c>
      <c r="T211" s="18">
        <f t="shared" si="27"/>
        <v>2.9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45817</v>
      </c>
      <c r="G212" s="16">
        <v>2.2000000000000002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2.2000000000000002</v>
      </c>
      <c r="S212" s="152">
        <f t="shared" si="26"/>
        <v>2.2000000000000002</v>
      </c>
      <c r="T212" s="18">
        <f t="shared" si="27"/>
        <v>2.2000000000000002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45827</v>
      </c>
      <c r="G213" s="16">
        <v>22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22</v>
      </c>
      <c r="S213" s="152">
        <f t="shared" si="26"/>
        <v>22</v>
      </c>
      <c r="T213" s="18">
        <f t="shared" si="27"/>
        <v>22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45771</v>
      </c>
      <c r="G214" s="16">
        <v>0.34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0.34</v>
      </c>
      <c r="S214" s="152">
        <f t="shared" si="26"/>
        <v>0.34</v>
      </c>
      <c r="T214" s="18">
        <f t="shared" si="27"/>
        <v>0.34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45777</v>
      </c>
      <c r="G215" s="16">
        <v>5.75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24"/>
        <v>0</v>
      </c>
      <c r="R215" s="152">
        <f t="shared" si="25"/>
        <v>5.75</v>
      </c>
      <c r="S215" s="152">
        <f t="shared" si="26"/>
        <v>5.75</v>
      </c>
      <c r="T215" s="18">
        <f t="shared" si="27"/>
        <v>5.75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45789</v>
      </c>
      <c r="G216" s="16">
        <v>3.92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24"/>
        <v>0</v>
      </c>
      <c r="R216" s="152">
        <f t="shared" si="25"/>
        <v>3.92</v>
      </c>
      <c r="S216" s="152">
        <f t="shared" si="26"/>
        <v>3.92</v>
      </c>
      <c r="T216" s="18">
        <f t="shared" si="27"/>
        <v>3.92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45791</v>
      </c>
      <c r="G217" s="16">
        <v>2.35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24"/>
        <v>0</v>
      </c>
      <c r="R217" s="152">
        <f t="shared" si="25"/>
        <v>2.35</v>
      </c>
      <c r="S217" s="152">
        <f t="shared" si="26"/>
        <v>2.35</v>
      </c>
      <c r="T217" s="18">
        <f t="shared" si="27"/>
        <v>2.35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45758</v>
      </c>
      <c r="G218" s="16">
        <v>0.86060000000000003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24"/>
        <v>0</v>
      </c>
      <c r="R218" s="152">
        <f t="shared" si="25"/>
        <v>0.86060000000000003</v>
      </c>
      <c r="S218" s="152">
        <f t="shared" si="26"/>
        <v>0.86060000000000003</v>
      </c>
      <c r="T218" s="18">
        <f t="shared" si="27"/>
        <v>0.86060000000000003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45790</v>
      </c>
      <c r="G219" s="16">
        <v>3.9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3.9</v>
      </c>
      <c r="S219" s="152">
        <f t="shared" si="26"/>
        <v>3.9</v>
      </c>
      <c r="T219" s="18">
        <f t="shared" si="27"/>
        <v>3.9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45779</v>
      </c>
      <c r="G220" s="16">
        <v>1.8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1.8</v>
      </c>
      <c r="S220" s="152">
        <f t="shared" si="26"/>
        <v>1.8</v>
      </c>
      <c r="T220" s="18">
        <f t="shared" si="27"/>
        <v>1.8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45786</v>
      </c>
      <c r="G221" s="16">
        <v>2.25</v>
      </c>
      <c r="H221" s="15">
        <v>45980</v>
      </c>
      <c r="I221" s="16">
        <v>2.25</v>
      </c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2.25</v>
      </c>
      <c r="S221" s="152">
        <f t="shared" si="26"/>
        <v>2.25</v>
      </c>
      <c r="T221" s="18">
        <f t="shared" si="27"/>
        <v>4.5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45806</v>
      </c>
      <c r="G222" s="16">
        <v>73.03</v>
      </c>
      <c r="H222" s="15">
        <v>45988</v>
      </c>
      <c r="I222" s="16">
        <v>50.4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73.03</v>
      </c>
      <c r="S222" s="152">
        <f t="shared" si="26"/>
        <v>73.03</v>
      </c>
      <c r="T222" s="18">
        <f t="shared" si="27"/>
        <v>123.43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45749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24"/>
        <v>0</v>
      </c>
      <c r="R223" s="152">
        <f t="shared" si="25"/>
        <v>3.2</v>
      </c>
      <c r="S223" s="152">
        <f t="shared" si="26"/>
        <v>3.2</v>
      </c>
      <c r="T223" s="18">
        <f t="shared" si="27"/>
        <v>3.2</v>
      </c>
    </row>
    <row r="224" spans="2:20" x14ac:dyDescent="0.2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45701</v>
      </c>
      <c r="G224" s="16">
        <v>0.33150000000000002</v>
      </c>
      <c r="H224" s="15">
        <v>45792</v>
      </c>
      <c r="I224" s="16">
        <f>0.358/1.1214</f>
        <v>0.31924380238986982</v>
      </c>
      <c r="J224" s="15">
        <v>45883</v>
      </c>
      <c r="K224" s="16">
        <f>0.358/1.1711</f>
        <v>0.30569549995730505</v>
      </c>
      <c r="L224" s="15">
        <v>45974</v>
      </c>
      <c r="M224" s="16">
        <f>0.358/1.1576</f>
        <v>0.30926053904630268</v>
      </c>
      <c r="N224" s="17"/>
      <c r="O224" s="16"/>
      <c r="P224" s="16"/>
      <c r="Q224" s="152">
        <f t="shared" si="24"/>
        <v>0.33150000000000002</v>
      </c>
      <c r="R224" s="152">
        <f t="shared" si="25"/>
        <v>0.65074380238986984</v>
      </c>
      <c r="S224" s="152">
        <f t="shared" si="26"/>
        <v>0.95643930234717489</v>
      </c>
      <c r="T224" s="18">
        <f t="shared" si="27"/>
        <v>1.2656998413934777</v>
      </c>
    </row>
    <row r="225" spans="2:20" x14ac:dyDescent="0.2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45702</v>
      </c>
      <c r="G225" s="16">
        <v>5.2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24"/>
        <v>5.2</v>
      </c>
      <c r="R225" s="152">
        <f t="shared" si="25"/>
        <v>5.2</v>
      </c>
      <c r="S225" s="152">
        <f t="shared" si="26"/>
        <v>5.2</v>
      </c>
      <c r="T225" s="18">
        <f t="shared" si="27"/>
        <v>5.2</v>
      </c>
    </row>
    <row r="226" spans="2:20" x14ac:dyDescent="0.2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24"/>
        <v>0</v>
      </c>
      <c r="R226" s="152">
        <f t="shared" si="25"/>
        <v>0</v>
      </c>
      <c r="S226" s="152">
        <f t="shared" si="26"/>
        <v>0</v>
      </c>
      <c r="T226" s="18">
        <f t="shared" si="27"/>
        <v>0</v>
      </c>
    </row>
    <row r="227" spans="2:20" x14ac:dyDescent="0.2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45776</v>
      </c>
      <c r="G227" s="16">
        <v>1.56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24"/>
        <v>0</v>
      </c>
      <c r="R227" s="152">
        <f t="shared" si="25"/>
        <v>1.56</v>
      </c>
      <c r="S227" s="152">
        <f t="shared" si="26"/>
        <v>1.56</v>
      </c>
      <c r="T227" s="18">
        <f t="shared" si="27"/>
        <v>1.56</v>
      </c>
    </row>
    <row r="228" spans="2:20" x14ac:dyDescent="0.2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45743</v>
      </c>
      <c r="G228" s="16">
        <v>1.8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1.8</v>
      </c>
      <c r="S228" s="152">
        <f t="shared" si="26"/>
        <v>1.8</v>
      </c>
      <c r="T228" s="18">
        <f t="shared" si="27"/>
        <v>1.8</v>
      </c>
    </row>
    <row r="229" spans="2:20" x14ac:dyDescent="0.2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24"/>
        <v>0</v>
      </c>
      <c r="R229" s="152">
        <f t="shared" si="25"/>
        <v>0</v>
      </c>
      <c r="S229" s="152">
        <f t="shared" si="26"/>
        <v>0</v>
      </c>
      <c r="T229" s="18">
        <f t="shared" si="27"/>
        <v>0</v>
      </c>
    </row>
    <row r="230" spans="2:20" x14ac:dyDescent="0.25">
      <c r="B230" s="158" t="s">
        <v>426</v>
      </c>
      <c r="C230" s="159" t="s">
        <v>427</v>
      </c>
      <c r="D230" s="39" t="s">
        <v>15</v>
      </c>
      <c r="E230" s="45" t="s">
        <v>200</v>
      </c>
      <c r="F230" s="175">
        <v>45749</v>
      </c>
      <c r="G230" s="154">
        <f>8.5*0.98095843</f>
        <v>8.338146655000001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8.338146655000001</v>
      </c>
      <c r="S230" s="152">
        <f t="shared" si="26"/>
        <v>8.338146655000001</v>
      </c>
      <c r="T230" s="18">
        <f t="shared" si="27"/>
        <v>8.338146655000001</v>
      </c>
    </row>
    <row r="231" spans="2:20" x14ac:dyDescent="0.25">
      <c r="B231" s="158" t="s">
        <v>838</v>
      </c>
      <c r="C231" s="159" t="s">
        <v>839</v>
      </c>
      <c r="D231" s="39" t="s">
        <v>15</v>
      </c>
      <c r="E231" s="45" t="s">
        <v>200</v>
      </c>
      <c r="F231" s="15">
        <v>45755</v>
      </c>
      <c r="G231" s="16">
        <v>8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</v>
      </c>
      <c r="S231" s="152">
        <f t="shared" si="26"/>
        <v>8</v>
      </c>
      <c r="T231" s="18">
        <f t="shared" si="27"/>
        <v>8</v>
      </c>
    </row>
    <row r="232" spans="2:20" x14ac:dyDescent="0.2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45749</v>
      </c>
      <c r="G232" s="16">
        <v>7.75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7.75</v>
      </c>
      <c r="S232" s="152">
        <f t="shared" si="26"/>
        <v>7.75</v>
      </c>
      <c r="T232" s="18">
        <f t="shared" si="27"/>
        <v>7.75</v>
      </c>
    </row>
    <row r="233" spans="2:20" x14ac:dyDescent="0.2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45677</v>
      </c>
      <c r="G233" s="16">
        <v>0.1162</v>
      </c>
      <c r="H233" s="15">
        <v>45831</v>
      </c>
      <c r="I233" s="16">
        <v>0.17430000000000001</v>
      </c>
      <c r="J233" s="15"/>
      <c r="K233" s="16"/>
      <c r="L233" s="15"/>
      <c r="M233" s="63"/>
      <c r="N233" s="17"/>
      <c r="O233" s="16"/>
      <c r="P233" s="47"/>
      <c r="Q233" s="152">
        <f t="shared" si="24"/>
        <v>0.1162</v>
      </c>
      <c r="R233" s="152">
        <f t="shared" si="25"/>
        <v>0.1162</v>
      </c>
      <c r="S233" s="152">
        <f t="shared" si="26"/>
        <v>0.29049999999999998</v>
      </c>
      <c r="T233" s="18">
        <f t="shared" si="27"/>
        <v>0.29049999999999998</v>
      </c>
    </row>
    <row r="234" spans="2:20" x14ac:dyDescent="0.25">
      <c r="B234" s="117" t="s">
        <v>435</v>
      </c>
      <c r="C234" s="136" t="s">
        <v>436</v>
      </c>
      <c r="D234" s="14" t="s">
        <v>24</v>
      </c>
      <c r="E234" s="14" t="s">
        <v>16</v>
      </c>
      <c r="F234" s="15">
        <v>45803</v>
      </c>
      <c r="G234" s="16">
        <v>1.0900000000000001</v>
      </c>
      <c r="H234" s="15">
        <v>45937</v>
      </c>
      <c r="I234" s="16">
        <v>0.61</v>
      </c>
      <c r="J234" s="15"/>
      <c r="K234" s="16"/>
      <c r="L234" s="15"/>
      <c r="M234" s="63"/>
      <c r="N234" s="17"/>
      <c r="O234" s="16"/>
      <c r="P234" s="16"/>
      <c r="Q234" s="152">
        <f t="shared" si="24"/>
        <v>0</v>
      </c>
      <c r="R234" s="152">
        <f t="shared" si="25"/>
        <v>1.0900000000000001</v>
      </c>
      <c r="S234" s="152">
        <f t="shared" si="26"/>
        <v>1.0900000000000001</v>
      </c>
      <c r="T234" s="18">
        <f t="shared" si="27"/>
        <v>1.7000000000000002</v>
      </c>
    </row>
    <row r="235" spans="2:20" x14ac:dyDescent="0.2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0</v>
      </c>
      <c r="S235" s="152">
        <f t="shared" si="26"/>
        <v>0</v>
      </c>
      <c r="T235" s="18">
        <f t="shared" si="27"/>
        <v>0</v>
      </c>
    </row>
    <row r="236" spans="2:20" x14ac:dyDescent="0.25">
      <c r="B236" s="117" t="s">
        <v>445</v>
      </c>
      <c r="C236" s="136" t="s">
        <v>446</v>
      </c>
      <c r="D236" s="14" t="s">
        <v>15</v>
      </c>
      <c r="E236" s="14" t="s">
        <v>761</v>
      </c>
      <c r="F236" s="15">
        <v>45659</v>
      </c>
      <c r="G236" s="16">
        <v>21.2</v>
      </c>
      <c r="H236" s="15">
        <v>45862</v>
      </c>
      <c r="I236" s="16">
        <v>43</v>
      </c>
      <c r="J236" s="15">
        <v>45995</v>
      </c>
      <c r="K236" s="16">
        <v>21.4</v>
      </c>
      <c r="L236" s="15"/>
      <c r="M236" s="63"/>
      <c r="N236" s="17"/>
      <c r="O236" s="16"/>
      <c r="P236" s="16"/>
      <c r="Q236" s="152">
        <f t="shared" si="24"/>
        <v>21.2</v>
      </c>
      <c r="R236" s="152">
        <f t="shared" si="25"/>
        <v>21.2</v>
      </c>
      <c r="S236" s="152">
        <f t="shared" si="26"/>
        <v>64.2</v>
      </c>
      <c r="T236" s="18">
        <f t="shared" si="27"/>
        <v>85.6</v>
      </c>
    </row>
    <row r="237" spans="2:20" x14ac:dyDescent="0.2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45743</v>
      </c>
      <c r="G237" s="16">
        <v>0.28000000000000003</v>
      </c>
      <c r="H237" s="15">
        <v>45876</v>
      </c>
      <c r="I237" s="16">
        <v>0.123</v>
      </c>
      <c r="J237" s="15"/>
      <c r="K237" s="16"/>
      <c r="L237" s="15"/>
      <c r="M237" s="63"/>
      <c r="N237" s="17"/>
      <c r="O237" s="16"/>
      <c r="P237" s="16"/>
      <c r="Q237" s="152">
        <f t="shared" si="24"/>
        <v>0</v>
      </c>
      <c r="R237" s="152">
        <f t="shared" si="25"/>
        <v>0.28000000000000003</v>
      </c>
      <c r="S237" s="152">
        <f t="shared" si="26"/>
        <v>0.40300000000000002</v>
      </c>
      <c r="T237" s="18">
        <f t="shared" si="27"/>
        <v>0.40300000000000002</v>
      </c>
    </row>
    <row r="238" spans="2:20" x14ac:dyDescent="0.25">
      <c r="B238" s="117" t="s">
        <v>733</v>
      </c>
      <c r="C238" s="136" t="s">
        <v>954</v>
      </c>
      <c r="D238" s="14" t="s">
        <v>941</v>
      </c>
      <c r="E238" s="14" t="s">
        <v>16</v>
      </c>
      <c r="F238" s="15">
        <v>45769</v>
      </c>
      <c r="G238" s="16">
        <v>0.68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0.68</v>
      </c>
      <c r="S238" s="152">
        <f t="shared" si="26"/>
        <v>0.68</v>
      </c>
      <c r="T238" s="18">
        <f t="shared" si="27"/>
        <v>0.68</v>
      </c>
    </row>
    <row r="239" spans="2:20" x14ac:dyDescent="0.25">
      <c r="B239" s="117" t="s">
        <v>733</v>
      </c>
      <c r="C239" s="136" t="s">
        <v>362</v>
      </c>
      <c r="D239" s="14" t="s">
        <v>24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2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45740</v>
      </c>
      <c r="G240" s="16">
        <v>0.09</v>
      </c>
      <c r="H240" s="15">
        <v>45831</v>
      </c>
      <c r="I240" s="16">
        <v>0.09</v>
      </c>
      <c r="J240" s="15">
        <v>45922</v>
      </c>
      <c r="K240" s="16">
        <v>0.09</v>
      </c>
      <c r="L240" s="15">
        <v>46006</v>
      </c>
      <c r="M240" s="63">
        <v>0.09</v>
      </c>
      <c r="N240" s="17"/>
      <c r="O240" s="16"/>
      <c r="P240" s="16"/>
      <c r="Q240" s="152">
        <f t="shared" si="24"/>
        <v>0</v>
      </c>
      <c r="R240" s="152">
        <f t="shared" si="25"/>
        <v>0.09</v>
      </c>
      <c r="S240" s="152">
        <f t="shared" si="26"/>
        <v>0.18</v>
      </c>
      <c r="T240" s="18">
        <f t="shared" si="27"/>
        <v>0.36</v>
      </c>
    </row>
    <row r="241" spans="2:20" x14ac:dyDescent="0.2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45757</v>
      </c>
      <c r="G241" s="16">
        <v>4.7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4.7</v>
      </c>
      <c r="S241" s="152">
        <f t="shared" si="26"/>
        <v>4.7</v>
      </c>
      <c r="T241" s="18">
        <f t="shared" si="27"/>
        <v>4.7</v>
      </c>
    </row>
    <row r="242" spans="2:20" x14ac:dyDescent="0.2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45754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3</v>
      </c>
      <c r="S242" s="152">
        <f t="shared" si="26"/>
        <v>3</v>
      </c>
      <c r="T242" s="18">
        <f t="shared" si="27"/>
        <v>3</v>
      </c>
    </row>
    <row r="243" spans="2:20" x14ac:dyDescent="0.25">
      <c r="B243" s="117" t="s">
        <v>455</v>
      </c>
      <c r="C243" s="136" t="s">
        <v>456</v>
      </c>
      <c r="D243" s="14" t="s">
        <v>15</v>
      </c>
      <c r="E243" s="14" t="s">
        <v>200</v>
      </c>
      <c r="F243" s="175">
        <v>45743</v>
      </c>
      <c r="G243" s="154">
        <f>7.5*0.93975904</f>
        <v>7.0481927999999998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7.0481927999999998</v>
      </c>
      <c r="S243" s="152">
        <f t="shared" si="26"/>
        <v>7.0481927999999998</v>
      </c>
      <c r="T243" s="18">
        <f t="shared" si="27"/>
        <v>7.0481927999999998</v>
      </c>
    </row>
    <row r="244" spans="2:20" x14ac:dyDescent="0.25">
      <c r="B244" s="117" t="s">
        <v>457</v>
      </c>
      <c r="C244" s="136" t="s">
        <v>458</v>
      </c>
      <c r="D244" s="14" t="s">
        <v>15</v>
      </c>
      <c r="E244" s="14" t="s">
        <v>200</v>
      </c>
      <c r="F244" s="15">
        <v>45743</v>
      </c>
      <c r="G244" s="16">
        <v>21.7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21.7</v>
      </c>
      <c r="S244" s="152">
        <f t="shared" si="26"/>
        <v>21.7</v>
      </c>
      <c r="T244" s="18">
        <f t="shared" si="27"/>
        <v>21.7</v>
      </c>
    </row>
    <row r="245" spans="2:20" x14ac:dyDescent="0.2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45762</v>
      </c>
      <c r="G245" s="16">
        <f>7.35/1.1377*0.9329</f>
        <v>6.0269095543640674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6.0269095543640674</v>
      </c>
      <c r="S245" s="152">
        <f t="shared" si="26"/>
        <v>6.0269095543640674</v>
      </c>
      <c r="T245" s="18">
        <f t="shared" si="27"/>
        <v>6.0269095543640674</v>
      </c>
    </row>
    <row r="246" spans="2:20" x14ac:dyDescent="0.2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45744</v>
      </c>
      <c r="G246" s="16">
        <v>22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22</v>
      </c>
      <c r="S246" s="152">
        <f t="shared" si="26"/>
        <v>22</v>
      </c>
      <c r="T246" s="18">
        <f t="shared" si="27"/>
        <v>22</v>
      </c>
    </row>
    <row r="247" spans="2:20" x14ac:dyDescent="0.25">
      <c r="B247" s="117" t="s">
        <v>467</v>
      </c>
      <c r="C247" s="136" t="s">
        <v>468</v>
      </c>
      <c r="D247" s="14" t="s">
        <v>15</v>
      </c>
      <c r="E247" s="14" t="s">
        <v>200</v>
      </c>
      <c r="F247" s="15">
        <v>45791</v>
      </c>
      <c r="G247" s="16">
        <v>3.2</v>
      </c>
      <c r="H247" s="15">
        <v>45939</v>
      </c>
      <c r="I247" s="16">
        <v>3.15</v>
      </c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3.2</v>
      </c>
      <c r="S247" s="152">
        <f t="shared" si="26"/>
        <v>3.2</v>
      </c>
      <c r="T247" s="18">
        <f t="shared" si="27"/>
        <v>6.35</v>
      </c>
    </row>
    <row r="248" spans="2:20" x14ac:dyDescent="0.2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0</v>
      </c>
      <c r="S248" s="152">
        <f t="shared" si="26"/>
        <v>0</v>
      </c>
      <c r="T248" s="18">
        <f t="shared" si="27"/>
        <v>0</v>
      </c>
    </row>
    <row r="249" spans="2:20" x14ac:dyDescent="0.25">
      <c r="B249" s="117" t="s">
        <v>471</v>
      </c>
      <c r="C249" s="136" t="s">
        <v>472</v>
      </c>
      <c r="D249" s="14" t="s">
        <v>15</v>
      </c>
      <c r="E249" s="14" t="s">
        <v>16</v>
      </c>
      <c r="F249" s="15">
        <v>45825</v>
      </c>
      <c r="G249" s="16">
        <v>0.15</v>
      </c>
      <c r="H249" s="15">
        <v>46007</v>
      </c>
      <c r="I249" s="16">
        <v>0.15</v>
      </c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0.15</v>
      </c>
      <c r="S249" s="152">
        <f t="shared" si="26"/>
        <v>0.15</v>
      </c>
      <c r="T249" s="18">
        <f t="shared" si="27"/>
        <v>0.3</v>
      </c>
    </row>
    <row r="250" spans="2:20" x14ac:dyDescent="0.25">
      <c r="B250" s="117" t="s">
        <v>473</v>
      </c>
      <c r="C250" s="136" t="s">
        <v>669</v>
      </c>
      <c r="D250" s="14" t="s">
        <v>755</v>
      </c>
      <c r="E250" s="14" t="s">
        <v>475</v>
      </c>
      <c r="F250" s="15">
        <v>45799</v>
      </c>
      <c r="G250" s="16">
        <v>5</v>
      </c>
      <c r="H250" s="15">
        <v>45946</v>
      </c>
      <c r="I250" s="16">
        <v>4.5999999999999996</v>
      </c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5</v>
      </c>
      <c r="S250" s="152">
        <f t="shared" si="26"/>
        <v>5</v>
      </c>
      <c r="T250" s="18">
        <f t="shared" si="27"/>
        <v>9.6</v>
      </c>
    </row>
    <row r="251" spans="2:20" x14ac:dyDescent="0.2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45694</v>
      </c>
      <c r="G251" s="16">
        <v>0.5</v>
      </c>
      <c r="H251" s="15">
        <v>45757</v>
      </c>
      <c r="I251" s="16">
        <v>0.5</v>
      </c>
      <c r="J251" s="15">
        <v>45868</v>
      </c>
      <c r="K251" s="16">
        <v>0.5</v>
      </c>
      <c r="L251" s="15">
        <v>45959</v>
      </c>
      <c r="M251" s="63">
        <v>0.5</v>
      </c>
      <c r="N251" s="17"/>
      <c r="O251" s="16"/>
      <c r="P251" s="16"/>
      <c r="Q251" s="152">
        <f t="shared" si="24"/>
        <v>0.5</v>
      </c>
      <c r="R251" s="152">
        <f t="shared" si="25"/>
        <v>1</v>
      </c>
      <c r="S251" s="152">
        <f t="shared" si="26"/>
        <v>1.5</v>
      </c>
      <c r="T251" s="18">
        <f t="shared" si="27"/>
        <v>2</v>
      </c>
    </row>
    <row r="252" spans="2:20" x14ac:dyDescent="0.25">
      <c r="B252" s="117" t="s">
        <v>957</v>
      </c>
      <c r="C252" s="136" t="s">
        <v>958</v>
      </c>
      <c r="D252" s="14" t="s">
        <v>941</v>
      </c>
      <c r="E252" s="14" t="s">
        <v>16</v>
      </c>
      <c r="F252" s="15">
        <v>45831</v>
      </c>
      <c r="G252" s="16">
        <v>0.27700000000000002</v>
      </c>
      <c r="H252" s="15">
        <v>45985</v>
      </c>
      <c r="I252" s="16">
        <v>0.1192</v>
      </c>
      <c r="J252" s="15"/>
      <c r="K252" s="16"/>
      <c r="L252" s="15"/>
      <c r="M252" s="63"/>
      <c r="N252" s="17"/>
      <c r="O252" s="16"/>
      <c r="P252" s="16"/>
      <c r="Q252" s="152">
        <f t="shared" si="24"/>
        <v>0</v>
      </c>
      <c r="R252" s="152">
        <f t="shared" si="25"/>
        <v>0</v>
      </c>
      <c r="S252" s="152">
        <f t="shared" si="26"/>
        <v>0.27700000000000002</v>
      </c>
      <c r="T252" s="18">
        <f t="shared" si="27"/>
        <v>0.3962</v>
      </c>
    </row>
    <row r="253" spans="2:20" x14ac:dyDescent="0.2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45715</v>
      </c>
      <c r="G253" s="16">
        <v>0.155</v>
      </c>
      <c r="H253" s="15">
        <v>45793</v>
      </c>
      <c r="I253" s="16">
        <v>0.155</v>
      </c>
      <c r="J253" s="15">
        <v>45862</v>
      </c>
      <c r="K253" s="16">
        <v>0.155</v>
      </c>
      <c r="L253" s="15">
        <v>45959</v>
      </c>
      <c r="M253" s="63">
        <v>0.155</v>
      </c>
      <c r="N253" s="17"/>
      <c r="O253" s="16"/>
      <c r="P253" s="16"/>
      <c r="Q253" s="152">
        <f t="shared" si="24"/>
        <v>0.155</v>
      </c>
      <c r="R253" s="152">
        <f t="shared" si="25"/>
        <v>0.31</v>
      </c>
      <c r="S253" s="152">
        <f t="shared" si="26"/>
        <v>0.46499999999999997</v>
      </c>
      <c r="T253" s="18">
        <f t="shared" si="27"/>
        <v>0.62</v>
      </c>
    </row>
    <row r="254" spans="2:20" x14ac:dyDescent="0.25">
      <c r="B254" s="117" t="s">
        <v>892</v>
      </c>
      <c r="C254" s="136" t="s">
        <v>893</v>
      </c>
      <c r="D254" s="14" t="s">
        <v>24</v>
      </c>
      <c r="E254" s="14" t="s">
        <v>16</v>
      </c>
      <c r="F254" s="15">
        <v>45797</v>
      </c>
      <c r="G254" s="16">
        <v>2.85</v>
      </c>
      <c r="H254" s="15">
        <v>45993</v>
      </c>
      <c r="I254" s="16">
        <v>0.95</v>
      </c>
      <c r="J254" s="15"/>
      <c r="K254" s="16"/>
      <c r="L254" s="15"/>
      <c r="M254" s="63"/>
      <c r="N254" s="17"/>
      <c r="O254" s="16"/>
      <c r="P254" s="16"/>
      <c r="Q254" s="152">
        <f t="shared" si="24"/>
        <v>0</v>
      </c>
      <c r="R254" s="152">
        <f t="shared" si="25"/>
        <v>2.85</v>
      </c>
      <c r="S254" s="152">
        <f t="shared" si="26"/>
        <v>2.85</v>
      </c>
      <c r="T254" s="18">
        <f t="shared" si="27"/>
        <v>3.8</v>
      </c>
    </row>
    <row r="255" spans="2:20" x14ac:dyDescent="0.25">
      <c r="B255" s="117" t="s">
        <v>480</v>
      </c>
      <c r="C255" s="136" t="s">
        <v>481</v>
      </c>
      <c r="D255" s="14" t="s">
        <v>237</v>
      </c>
      <c r="E255" s="14" t="s">
        <v>16</v>
      </c>
      <c r="F255" s="15">
        <v>45667</v>
      </c>
      <c r="G255" s="16">
        <v>0.14061000000000001</v>
      </c>
      <c r="H255" s="15">
        <v>45835</v>
      </c>
      <c r="I255" s="16">
        <v>0.10545</v>
      </c>
      <c r="J255" s="15"/>
      <c r="K255" s="16"/>
      <c r="L255" s="15"/>
      <c r="M255" s="63"/>
      <c r="N255" s="17"/>
      <c r="O255" s="16"/>
      <c r="P255" s="16"/>
      <c r="Q255" s="152">
        <f t="shared" si="24"/>
        <v>0.14061000000000001</v>
      </c>
      <c r="R255" s="152">
        <f t="shared" si="25"/>
        <v>0.14061000000000001</v>
      </c>
      <c r="S255" s="152">
        <f t="shared" si="26"/>
        <v>0.24606</v>
      </c>
      <c r="T255" s="18">
        <f t="shared" si="27"/>
        <v>0.24606</v>
      </c>
    </row>
    <row r="256" spans="2:20" x14ac:dyDescent="0.25">
      <c r="B256" s="117" t="s">
        <v>482</v>
      </c>
      <c r="C256" s="136" t="s">
        <v>483</v>
      </c>
      <c r="D256" s="14" t="s">
        <v>15</v>
      </c>
      <c r="E256" s="14" t="s">
        <v>21</v>
      </c>
      <c r="F256" s="15">
        <v>45800</v>
      </c>
      <c r="G256" s="16">
        <v>4.5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24"/>
        <v>0</v>
      </c>
      <c r="R256" s="152">
        <f t="shared" si="25"/>
        <v>4.5</v>
      </c>
      <c r="S256" s="152">
        <f t="shared" si="26"/>
        <v>4.5</v>
      </c>
      <c r="T256" s="18">
        <f t="shared" si="27"/>
        <v>4.5</v>
      </c>
    </row>
    <row r="257" spans="2:20" x14ac:dyDescent="0.2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45691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/>
      <c r="R257" s="152"/>
      <c r="S257" s="152"/>
      <c r="T257" s="18">
        <f t="shared" si="27"/>
        <v>0.15</v>
      </c>
    </row>
    <row r="258" spans="2:20" x14ac:dyDescent="0.2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45659</v>
      </c>
      <c r="G258" s="16">
        <v>0.79</v>
      </c>
      <c r="H258" s="15">
        <v>45742</v>
      </c>
      <c r="I258" s="16">
        <v>0.79</v>
      </c>
      <c r="J258" s="15">
        <v>45827</v>
      </c>
      <c r="K258" s="16">
        <v>0.85</v>
      </c>
      <c r="L258" s="15">
        <v>45931</v>
      </c>
      <c r="M258" s="63">
        <v>0.85</v>
      </c>
      <c r="N258" s="17"/>
      <c r="O258" s="16"/>
      <c r="P258" s="16"/>
      <c r="Q258" s="152">
        <f t="shared" si="24"/>
        <v>0.79</v>
      </c>
      <c r="R258" s="152">
        <f t="shared" si="25"/>
        <v>2.4300000000000002</v>
      </c>
      <c r="S258" s="152">
        <f t="shared" si="26"/>
        <v>2.4300000000000002</v>
      </c>
      <c r="T258" s="18">
        <f t="shared" si="27"/>
        <v>3.2800000000000002</v>
      </c>
    </row>
    <row r="259" spans="2:20" x14ac:dyDescent="0.2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45772</v>
      </c>
      <c r="G259" s="16">
        <v>7.5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24"/>
        <v>0</v>
      </c>
      <c r="R259" s="152">
        <f t="shared" si="25"/>
        <v>7.5</v>
      </c>
      <c r="S259" s="152">
        <f t="shared" si="26"/>
        <v>7.5</v>
      </c>
      <c r="T259" s="18">
        <f t="shared" si="27"/>
        <v>7.5</v>
      </c>
    </row>
    <row r="260" spans="2:20" x14ac:dyDescent="0.2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45762</v>
      </c>
      <c r="G260" s="16">
        <f>0.45/1.1377*0.9329</f>
        <v>0.36899446251208579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0.36899446251208579</v>
      </c>
      <c r="S260" s="152">
        <f t="shared" si="26"/>
        <v>0.36899446251208579</v>
      </c>
      <c r="T260" s="18">
        <f t="shared" si="27"/>
        <v>0.36899446251208579</v>
      </c>
    </row>
    <row r="261" spans="2:20" x14ac:dyDescent="0.2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45772</v>
      </c>
      <c r="G261" s="16">
        <v>1.39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1.39</v>
      </c>
      <c r="S261" s="152">
        <f t="shared" si="26"/>
        <v>1.39</v>
      </c>
      <c r="T261" s="18">
        <f t="shared" si="27"/>
        <v>1.39</v>
      </c>
    </row>
    <row r="262" spans="2:20" x14ac:dyDescent="0.2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45775</v>
      </c>
      <c r="G262" s="16">
        <v>0.25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0.25</v>
      </c>
      <c r="S262" s="152">
        <f t="shared" si="26"/>
        <v>0.25</v>
      </c>
      <c r="T262" s="18">
        <f t="shared" si="27"/>
        <v>0.25</v>
      </c>
    </row>
    <row r="263" spans="2:20" x14ac:dyDescent="0.25">
      <c r="B263" s="117" t="s">
        <v>622</v>
      </c>
      <c r="C263" s="136" t="s">
        <v>499</v>
      </c>
      <c r="D263" s="14" t="s">
        <v>15</v>
      </c>
      <c r="E263" s="14" t="s">
        <v>16</v>
      </c>
      <c r="F263" s="15">
        <v>45785</v>
      </c>
      <c r="G263" s="16">
        <v>3.5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3.5</v>
      </c>
      <c r="S263" s="152">
        <f t="shared" si="26"/>
        <v>3.5</v>
      </c>
      <c r="T263" s="18">
        <f t="shared" si="27"/>
        <v>3.5</v>
      </c>
    </row>
    <row r="264" spans="2:20" x14ac:dyDescent="0.2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45769</v>
      </c>
      <c r="G264" s="16">
        <v>1.4763999999999999</v>
      </c>
      <c r="H264" s="15">
        <v>45985</v>
      </c>
      <c r="I264" s="16">
        <v>1.4281999999999999</v>
      </c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1.4763999999999999</v>
      </c>
      <c r="S264" s="152">
        <f t="shared" si="26"/>
        <v>1.4763999999999999</v>
      </c>
      <c r="T264" s="18">
        <f t="shared" si="27"/>
        <v>2.9045999999999998</v>
      </c>
    </row>
    <row r="265" spans="2:20" x14ac:dyDescent="0.25">
      <c r="B265" s="117" t="s">
        <v>504</v>
      </c>
      <c r="C265" s="136" t="s">
        <v>970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0</v>
      </c>
      <c r="S265" s="152">
        <f t="shared" si="26"/>
        <v>0</v>
      </c>
      <c r="T265" s="18">
        <f t="shared" si="27"/>
        <v>0</v>
      </c>
    </row>
    <row r="266" spans="2:20" x14ac:dyDescent="0.25">
      <c r="B266" s="117" t="s">
        <v>692</v>
      </c>
      <c r="C266" s="136" t="s">
        <v>693</v>
      </c>
      <c r="D266" s="14" t="s">
        <v>15</v>
      </c>
      <c r="E266" s="14" t="s">
        <v>16</v>
      </c>
      <c r="F266" s="15">
        <v>45820</v>
      </c>
      <c r="G266" s="16">
        <v>0.6</v>
      </c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24"/>
        <v>0</v>
      </c>
      <c r="R266" s="152">
        <f t="shared" si="25"/>
        <v>0.6</v>
      </c>
      <c r="S266" s="152">
        <f t="shared" si="26"/>
        <v>0.6</v>
      </c>
      <c r="T266" s="18">
        <f t="shared" si="27"/>
        <v>0.6</v>
      </c>
    </row>
    <row r="267" spans="2:20" x14ac:dyDescent="0.25">
      <c r="B267" s="117" t="s">
        <v>510</v>
      </c>
      <c r="C267" s="136" t="s">
        <v>511</v>
      </c>
      <c r="D267" s="14" t="s">
        <v>15</v>
      </c>
      <c r="E267" s="14" t="s">
        <v>761</v>
      </c>
      <c r="F267" s="15">
        <v>45827</v>
      </c>
      <c r="G267" s="16">
        <v>34.57</v>
      </c>
      <c r="H267" s="15">
        <v>46009</v>
      </c>
      <c r="I267" s="16">
        <v>17.88</v>
      </c>
      <c r="J267" s="15"/>
      <c r="K267" s="16"/>
      <c r="L267" s="15"/>
      <c r="M267" s="63"/>
      <c r="N267" s="17"/>
      <c r="O267" s="16"/>
      <c r="P267" s="16"/>
      <c r="Q267" s="152">
        <f t="shared" si="24"/>
        <v>0</v>
      </c>
      <c r="R267" s="152">
        <f t="shared" si="25"/>
        <v>34.57</v>
      </c>
      <c r="S267" s="152">
        <f t="shared" si="26"/>
        <v>34.57</v>
      </c>
      <c r="T267" s="18">
        <f t="shared" si="27"/>
        <v>52.45</v>
      </c>
    </row>
    <row r="268" spans="2:20" x14ac:dyDescent="0.25">
      <c r="B268" s="117" t="s">
        <v>794</v>
      </c>
      <c r="C268" s="136" t="s">
        <v>795</v>
      </c>
      <c r="D268" s="14" t="s">
        <v>15</v>
      </c>
      <c r="E268" s="14" t="s">
        <v>16</v>
      </c>
      <c r="F268" s="15">
        <v>45798</v>
      </c>
      <c r="G268" s="16">
        <v>0.28000000000000003</v>
      </c>
      <c r="H268" s="15">
        <v>45936</v>
      </c>
      <c r="I268" s="16">
        <v>0.24</v>
      </c>
      <c r="J268" s="15"/>
      <c r="K268" s="16"/>
      <c r="L268" s="15"/>
      <c r="M268" s="63"/>
      <c r="N268" s="17"/>
      <c r="O268" s="16"/>
      <c r="P268" s="143"/>
      <c r="Q268" s="152">
        <f t="shared" si="24"/>
        <v>0</v>
      </c>
      <c r="R268" s="152">
        <f t="shared" si="25"/>
        <v>0.28000000000000003</v>
      </c>
      <c r="S268" s="152">
        <f t="shared" si="26"/>
        <v>0.28000000000000003</v>
      </c>
      <c r="T268" s="18">
        <f t="shared" si="27"/>
        <v>0.52</v>
      </c>
    </row>
    <row r="269" spans="2:20" x14ac:dyDescent="0.25">
      <c r="B269" s="117" t="s">
        <v>512</v>
      </c>
      <c r="C269" s="136" t="s">
        <v>513</v>
      </c>
      <c r="D269" s="14" t="s">
        <v>24</v>
      </c>
      <c r="E269" s="14" t="s">
        <v>16</v>
      </c>
      <c r="F269" s="15">
        <v>45803</v>
      </c>
      <c r="G269" s="16">
        <v>0.42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4"/>
        <v>0</v>
      </c>
      <c r="R269" s="152">
        <f t="shared" si="25"/>
        <v>0.42</v>
      </c>
      <c r="S269" s="152">
        <f t="shared" si="26"/>
        <v>0.42</v>
      </c>
      <c r="T269" s="18">
        <f t="shared" si="27"/>
        <v>0.42</v>
      </c>
    </row>
    <row r="270" spans="2:20" x14ac:dyDescent="0.25">
      <c r="B270" s="117" t="s">
        <v>514</v>
      </c>
      <c r="C270" s="136" t="s">
        <v>515</v>
      </c>
      <c r="D270" s="14" t="s">
        <v>24</v>
      </c>
      <c r="E270" s="14" t="s">
        <v>16</v>
      </c>
      <c r="F270" s="15">
        <v>45803</v>
      </c>
      <c r="G270" s="16">
        <v>1.5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1.5</v>
      </c>
      <c r="S270" s="152">
        <f t="shared" si="26"/>
        <v>1.5</v>
      </c>
      <c r="T270" s="18">
        <f t="shared" si="27"/>
        <v>1.5</v>
      </c>
    </row>
    <row r="271" spans="2:20" x14ac:dyDescent="0.2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45743</v>
      </c>
      <c r="G271" s="16">
        <v>0.68</v>
      </c>
      <c r="H271" s="15">
        <v>45926</v>
      </c>
      <c r="I271" s="16">
        <v>0.67</v>
      </c>
      <c r="J271" s="15"/>
      <c r="K271" s="16"/>
      <c r="L271" s="15"/>
      <c r="M271" s="63"/>
      <c r="N271" s="17"/>
      <c r="O271" s="16"/>
      <c r="P271" s="16"/>
      <c r="Q271" s="152">
        <f t="shared" ref="Q271:Q288" si="28">IF(F271&lt;=Exp25Q1,G271,0)+IF(H271&lt;=Exp25Q1,I271,0)+IF(J271&lt;=Exp25Q1,K271,0)+IF(L271&lt;=Exp25Q1,M271,0)+IF(N271&lt;=Exp25Q1,O271,0)</f>
        <v>0</v>
      </c>
      <c r="R271" s="152">
        <f t="shared" ref="R271:R288" si="29">IF(F271&lt;=Exp25H1,G271,0)+IF(H271&lt;=Exp25H1,I271,0)+IF(J271&lt;=Exp25H1,K271,0)+IF(L271&lt;=Exp25H1,M271,0)+IF(N271&lt;=Exp25H1,O271,0)</f>
        <v>0.68</v>
      </c>
      <c r="S271" s="152">
        <f t="shared" ref="S271:S288" si="30">IF(F271&lt;=Exp25Q3,G271,0)+IF(H271&lt;=Exp25Q3,I271,0)+IF(J271&lt;=Exp25Q3,K271,0)+IF(L271&lt;=Exp25Q3,M271,0)+IF(N271&lt;=Exp25Q3,O271,0)</f>
        <v>0.68</v>
      </c>
      <c r="T271" s="18">
        <f t="shared" ref="T271:T288" si="31">G271+I271+K271+M271+O271</f>
        <v>1.35</v>
      </c>
    </row>
    <row r="272" spans="2:20" x14ac:dyDescent="0.2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45705</v>
      </c>
      <c r="G272" s="16">
        <v>1.2130000000000001</v>
      </c>
      <c r="H272" s="15">
        <v>45776</v>
      </c>
      <c r="I272" s="16">
        <v>1.2450000000000001</v>
      </c>
      <c r="J272" s="15">
        <v>45887</v>
      </c>
      <c r="K272" s="16">
        <v>1.22</v>
      </c>
      <c r="L272" s="15">
        <v>45978</v>
      </c>
      <c r="M272" s="63">
        <v>1.2110000000000001</v>
      </c>
      <c r="N272" s="17"/>
      <c r="O272" s="16"/>
      <c r="P272" s="16"/>
      <c r="Q272" s="152">
        <f t="shared" si="28"/>
        <v>1.2130000000000001</v>
      </c>
      <c r="R272" s="152">
        <f t="shared" si="29"/>
        <v>2.4580000000000002</v>
      </c>
      <c r="S272" s="152">
        <f t="shared" si="30"/>
        <v>3.6779999999999999</v>
      </c>
      <c r="T272" s="18">
        <f t="shared" si="31"/>
        <v>4.8890000000000002</v>
      </c>
    </row>
    <row r="273" spans="2:20" x14ac:dyDescent="0.25">
      <c r="B273" s="117" t="s">
        <v>968</v>
      </c>
      <c r="C273" s="136" t="s">
        <v>922</v>
      </c>
      <c r="D273" s="14" t="s">
        <v>755</v>
      </c>
      <c r="E273" s="14" t="s">
        <v>475</v>
      </c>
      <c r="F273" s="175">
        <v>45785</v>
      </c>
      <c r="G273" s="154">
        <f>2.25*0.9938674*0.93929463</f>
        <v>2.1004522014421396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>IF(F273&lt;=Exp25Q1,G273,0)+IF(H273&lt;=Exp25Q1,I273,0)+IF(J273&lt;=Exp25Q1,K273,0)+IF(L273&lt;=Exp25Q1,M273,0)+IF(N273&lt;=Exp25Q1,O273,0)</f>
        <v>0</v>
      </c>
      <c r="R273" s="152">
        <f>IF(F273&lt;=Exp25H1,G273,0)+IF(H273&lt;=Exp25H1,I273,0)+IF(J273&lt;=Exp25H1,K273,0)+IF(L273&lt;=Exp25H1,M273,0)+IF(N273&lt;=Exp25H1,O273,0)</f>
        <v>2.1004522014421396</v>
      </c>
      <c r="S273" s="152">
        <f>IF(F273&lt;=Exp25Q3,G273,0)+IF(H273&lt;=Exp25Q3,I273,0)+IF(J273&lt;=Exp25Q3,K273,0)+IF(L273&lt;=Exp25Q3,M273,0)+IF(N273&lt;=Exp25Q3,O273,0)</f>
        <v>2.1004522014421396</v>
      </c>
      <c r="T273" s="18">
        <f>G273+I273+K273+M273+O273</f>
        <v>2.1004522014421396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45789</v>
      </c>
      <c r="G274" s="16">
        <v>1.4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8"/>
        <v>0</v>
      </c>
      <c r="R274" s="152">
        <f t="shared" si="29"/>
        <v>1.4</v>
      </c>
      <c r="S274" s="152">
        <f t="shared" si="30"/>
        <v>1.4</v>
      </c>
      <c r="T274" s="18">
        <f t="shared" si="31"/>
        <v>1.4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45776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2</v>
      </c>
      <c r="S275" s="152">
        <f t="shared" si="30"/>
        <v>2</v>
      </c>
      <c r="T275" s="18">
        <f t="shared" si="31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45803</v>
      </c>
      <c r="G276" s="16">
        <v>1.55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1.55</v>
      </c>
      <c r="S276" s="152">
        <f t="shared" si="30"/>
        <v>1.55</v>
      </c>
      <c r="T276" s="18">
        <f t="shared" si="31"/>
        <v>1.55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45769</v>
      </c>
      <c r="G277" s="16">
        <v>3.7</v>
      </c>
      <c r="H277" s="15">
        <v>45944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3.7</v>
      </c>
      <c r="S277" s="152">
        <f t="shared" si="30"/>
        <v>3.7</v>
      </c>
      <c r="T277" s="18">
        <f t="shared" si="31"/>
        <v>4.75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45813</v>
      </c>
      <c r="G278" s="16">
        <f>0.0225*100*0.8421</f>
        <v>1.894725</v>
      </c>
      <c r="H278" s="15">
        <v>45981</v>
      </c>
      <c r="I278" s="16">
        <f>0.0225*100*0.8827</f>
        <v>1.986075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1.894725</v>
      </c>
      <c r="S278" s="152">
        <f t="shared" si="30"/>
        <v>1.894725</v>
      </c>
      <c r="T278" s="18">
        <f t="shared" si="31"/>
        <v>3.8807999999999998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45796</v>
      </c>
      <c r="G279" s="16">
        <v>6.36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6.36</v>
      </c>
      <c r="S279" s="152">
        <f t="shared" si="30"/>
        <v>6.36</v>
      </c>
      <c r="T279" s="18">
        <f t="shared" si="31"/>
        <v>6.36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75">
        <v>45750</v>
      </c>
      <c r="G280" s="154">
        <f>8*0.96304118</f>
        <v>7.7043294400000004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7.7043294400000004</v>
      </c>
      <c r="S280" s="152">
        <f t="shared" si="30"/>
        <v>7.7043294400000004</v>
      </c>
      <c r="T280" s="18">
        <f t="shared" si="31"/>
        <v>7.7043294400000004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0</v>
      </c>
      <c r="S281" s="152">
        <f t="shared" si="30"/>
        <v>0</v>
      </c>
      <c r="T281" s="18">
        <f t="shared" si="31"/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45806</v>
      </c>
      <c r="G282" s="16">
        <v>1.22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1.22</v>
      </c>
      <c r="S282" s="152">
        <f t="shared" si="30"/>
        <v>1.22</v>
      </c>
      <c r="T282" s="18">
        <f t="shared" si="31"/>
        <v>1.22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45772</v>
      </c>
      <c r="G283" s="16">
        <v>1.6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1.6</v>
      </c>
      <c r="S283" s="152">
        <f t="shared" si="30"/>
        <v>1.6</v>
      </c>
      <c r="T283" s="18">
        <f t="shared" si="31"/>
        <v>1.6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45798</v>
      </c>
      <c r="G284" s="16">
        <v>0.95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0.95</v>
      </c>
      <c r="S284" s="152">
        <f t="shared" si="30"/>
        <v>0.95</v>
      </c>
      <c r="T284" s="18">
        <f t="shared" si="31"/>
        <v>0.95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45796</v>
      </c>
      <c r="G285" s="16">
        <v>1.5</v>
      </c>
      <c r="H285" s="15">
        <v>45895</v>
      </c>
      <c r="I285" s="16">
        <v>0.93</v>
      </c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1.5</v>
      </c>
      <c r="S285" s="152">
        <f t="shared" si="30"/>
        <v>2.4300000000000002</v>
      </c>
      <c r="T285" s="18">
        <f t="shared" si="31"/>
        <v>2.4300000000000002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45813</v>
      </c>
      <c r="G286" s="16">
        <v>24.4</v>
      </c>
      <c r="H286" s="15">
        <v>45939</v>
      </c>
      <c r="I286" s="16">
        <v>7.5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24.4</v>
      </c>
      <c r="S286" s="152">
        <f t="shared" si="30"/>
        <v>24.4</v>
      </c>
      <c r="T286" s="18">
        <f t="shared" si="31"/>
        <v>31.9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45807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5</v>
      </c>
      <c r="S287" s="152">
        <f t="shared" si="30"/>
        <v>5</v>
      </c>
      <c r="T287" s="18">
        <f t="shared" si="31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45758</v>
      </c>
      <c r="G288" s="16">
        <v>28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28</v>
      </c>
      <c r="S288" s="152">
        <f t="shared" si="30"/>
        <v>28</v>
      </c>
      <c r="T288" s="18">
        <f t="shared" si="31"/>
        <v>28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45702</v>
      </c>
      <c r="G289" s="24">
        <v>0.73</v>
      </c>
      <c r="H289" s="23">
        <v>45800</v>
      </c>
      <c r="I289" s="24">
        <v>0.73</v>
      </c>
      <c r="J289" s="23">
        <v>45894</v>
      </c>
      <c r="K289" s="24">
        <v>0.73</v>
      </c>
      <c r="L289" s="23">
        <v>45975</v>
      </c>
      <c r="M289" s="24">
        <v>0.73</v>
      </c>
      <c r="N289" s="25"/>
      <c r="O289" s="24"/>
      <c r="P289" s="24"/>
      <c r="Q289" s="24"/>
      <c r="R289" s="24"/>
      <c r="S289" s="24"/>
      <c r="T289" s="26">
        <f t="shared" ref="T289:T344" si="32">G289+I289+K289+M289+O289</f>
        <v>2.92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45762</v>
      </c>
      <c r="G290" s="24">
        <v>1.64</v>
      </c>
      <c r="H290" s="23">
        <v>45853</v>
      </c>
      <c r="I290" s="24">
        <v>1.64</v>
      </c>
      <c r="J290" s="23">
        <v>45945</v>
      </c>
      <c r="K290" s="24">
        <v>1.64</v>
      </c>
      <c r="L290" s="23">
        <v>46038</v>
      </c>
      <c r="M290" s="24">
        <v>1.73</v>
      </c>
      <c r="N290" s="25"/>
      <c r="O290" s="24"/>
      <c r="P290" s="24"/>
      <c r="Q290" s="24"/>
      <c r="R290" s="24"/>
      <c r="S290" s="24"/>
      <c r="T290" s="26">
        <f t="shared" si="32"/>
        <v>6.65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45741</v>
      </c>
      <c r="G291" s="24">
        <v>1.02</v>
      </c>
      <c r="H291" s="23">
        <v>45824</v>
      </c>
      <c r="I291" s="24">
        <v>1.02</v>
      </c>
      <c r="J291" s="23">
        <v>45915</v>
      </c>
      <c r="K291" s="24">
        <v>1.06</v>
      </c>
      <c r="L291" s="23">
        <v>46017</v>
      </c>
      <c r="M291" s="24">
        <v>1.06</v>
      </c>
      <c r="N291" s="25"/>
      <c r="O291" s="24"/>
      <c r="P291" s="24"/>
      <c r="Q291" s="24"/>
      <c r="R291" s="24"/>
      <c r="S291" s="24"/>
      <c r="T291" s="26">
        <f t="shared" si="32"/>
        <v>4.16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45702</v>
      </c>
      <c r="G293" s="24">
        <v>2.38</v>
      </c>
      <c r="H293" s="23">
        <v>45793</v>
      </c>
      <c r="I293" s="24">
        <v>2.38</v>
      </c>
      <c r="J293" s="23">
        <v>45891</v>
      </c>
      <c r="K293" s="24">
        <v>2.38</v>
      </c>
      <c r="L293" s="23">
        <v>45982</v>
      </c>
      <c r="M293" s="24">
        <v>2.38</v>
      </c>
      <c r="N293" s="25"/>
      <c r="O293" s="24"/>
      <c r="P293" s="24"/>
      <c r="Q293" s="24"/>
      <c r="R293" s="24"/>
      <c r="S293" s="24"/>
      <c r="T293" s="26">
        <f t="shared" si="32"/>
        <v>9.52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45698</v>
      </c>
      <c r="G294" s="24">
        <v>0.25</v>
      </c>
      <c r="H294" s="23">
        <v>45789</v>
      </c>
      <c r="I294" s="24">
        <v>0.26</v>
      </c>
      <c r="J294" s="23">
        <v>45880</v>
      </c>
      <c r="K294" s="24">
        <v>0.26</v>
      </c>
      <c r="L294" s="23">
        <v>45971</v>
      </c>
      <c r="M294" s="24">
        <v>0.26</v>
      </c>
      <c r="N294" s="25"/>
      <c r="O294" s="24"/>
      <c r="P294" s="24"/>
      <c r="Q294" s="24"/>
      <c r="R294" s="24"/>
      <c r="S294" s="24"/>
      <c r="T294" s="26">
        <f t="shared" si="32"/>
        <v>1.03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45757</v>
      </c>
      <c r="G295" s="24">
        <v>0.27750000000000002</v>
      </c>
      <c r="H295" s="23">
        <v>45848</v>
      </c>
      <c r="I295" s="24">
        <v>0.27750000000000002</v>
      </c>
      <c r="J295" s="23">
        <v>45940</v>
      </c>
      <c r="K295" s="24">
        <v>0.27750000000000002</v>
      </c>
      <c r="L295" s="23">
        <v>46034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32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45723</v>
      </c>
      <c r="G296" s="24">
        <v>0.26</v>
      </c>
      <c r="H296" s="23">
        <v>45814</v>
      </c>
      <c r="I296" s="24">
        <v>0.26</v>
      </c>
      <c r="J296" s="23">
        <v>45905</v>
      </c>
      <c r="K296" s="24">
        <v>0.28000000000000003</v>
      </c>
      <c r="L296" s="23">
        <v>45996</v>
      </c>
      <c r="M296" s="24">
        <v>0.28000000000000003</v>
      </c>
      <c r="N296" s="25"/>
      <c r="O296" s="24"/>
      <c r="P296" s="24"/>
      <c r="Q296" s="24"/>
      <c r="R296" s="24"/>
      <c r="S296" s="24"/>
      <c r="T296" s="26">
        <f t="shared" si="32"/>
        <v>1.08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45751</v>
      </c>
      <c r="G298" s="24">
        <v>0.62</v>
      </c>
      <c r="H298" s="23">
        <v>45841</v>
      </c>
      <c r="I298" s="24">
        <v>0.62</v>
      </c>
      <c r="J298" s="23">
        <v>45933</v>
      </c>
      <c r="K298" s="24">
        <v>0.62</v>
      </c>
      <c r="L298" s="23">
        <v>46024</v>
      </c>
      <c r="M298" s="24">
        <v>0.63</v>
      </c>
      <c r="N298" s="25"/>
      <c r="O298" s="24"/>
      <c r="P298" s="24"/>
      <c r="Q298" s="24"/>
      <c r="R298" s="24"/>
      <c r="S298" s="24"/>
      <c r="T298" s="26">
        <f t="shared" si="32"/>
        <v>2.4899999999999998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45736</v>
      </c>
      <c r="G299" s="24">
        <v>0.59</v>
      </c>
      <c r="H299" s="23">
        <v>45828</v>
      </c>
      <c r="I299" s="24">
        <v>0.59</v>
      </c>
      <c r="J299" s="23">
        <v>45922</v>
      </c>
      <c r="K299" s="24">
        <v>0.59</v>
      </c>
      <c r="L299" s="23">
        <v>46013</v>
      </c>
      <c r="M299" s="24">
        <v>0.65</v>
      </c>
      <c r="N299" s="25"/>
      <c r="O299" s="24"/>
      <c r="P299" s="24"/>
      <c r="Q299" s="24"/>
      <c r="R299" s="24"/>
      <c r="S299" s="24"/>
      <c r="T299" s="26">
        <f t="shared" si="32"/>
        <v>2.42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45702</v>
      </c>
      <c r="G300" s="24">
        <v>1.71</v>
      </c>
      <c r="H300" s="23">
        <v>45796</v>
      </c>
      <c r="I300" s="24">
        <v>1.71</v>
      </c>
      <c r="J300" s="23">
        <v>45888</v>
      </c>
      <c r="K300" s="24">
        <v>1.71</v>
      </c>
      <c r="L300" s="23">
        <v>45979</v>
      </c>
      <c r="M300" s="24">
        <v>1.71</v>
      </c>
      <c r="N300" s="25"/>
      <c r="O300" s="24"/>
      <c r="P300" s="24"/>
      <c r="Q300" s="24"/>
      <c r="R300" s="24"/>
      <c r="S300" s="24"/>
      <c r="T300" s="26">
        <f t="shared" si="32"/>
        <v>6.84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45750</v>
      </c>
      <c r="G301" s="24">
        <v>0.41</v>
      </c>
      <c r="H301" s="23">
        <v>45841</v>
      </c>
      <c r="I301" s="24">
        <v>0.41</v>
      </c>
      <c r="J301" s="23">
        <v>45933</v>
      </c>
      <c r="K301" s="24">
        <v>0.41</v>
      </c>
      <c r="L301" s="23">
        <v>46024</v>
      </c>
      <c r="M301" s="24">
        <v>0.41</v>
      </c>
      <c r="N301" s="25"/>
      <c r="O301" s="24"/>
      <c r="P301" s="24"/>
      <c r="Q301" s="24"/>
      <c r="R301" s="24"/>
      <c r="S301" s="24"/>
      <c r="T301" s="26">
        <f t="shared" si="32"/>
        <v>1.64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45691</v>
      </c>
      <c r="G302" s="24">
        <v>0.56000000000000005</v>
      </c>
      <c r="H302" s="23">
        <v>45782</v>
      </c>
      <c r="I302" s="24">
        <v>0.56000000000000005</v>
      </c>
      <c r="J302" s="23">
        <v>45873</v>
      </c>
      <c r="K302" s="24">
        <v>0.6</v>
      </c>
      <c r="L302" s="23">
        <v>45964</v>
      </c>
      <c r="M302" s="24">
        <v>0.6</v>
      </c>
      <c r="N302" s="25"/>
      <c r="O302" s="24"/>
      <c r="P302" s="24"/>
      <c r="Q302" s="24"/>
      <c r="R302" s="24"/>
      <c r="S302" s="24"/>
      <c r="T302" s="26">
        <f t="shared" si="32"/>
        <v>2.3200000000000003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23">
        <v>45723</v>
      </c>
      <c r="G303" s="24">
        <v>1.25</v>
      </c>
      <c r="H303" s="23">
        <v>45817</v>
      </c>
      <c r="I303" s="24">
        <v>1.25</v>
      </c>
      <c r="J303" s="23">
        <v>45909</v>
      </c>
      <c r="K303" s="24">
        <v>1.25</v>
      </c>
      <c r="L303" s="23">
        <v>46003</v>
      </c>
      <c r="M303" s="24">
        <v>1.25</v>
      </c>
      <c r="N303" s="25"/>
      <c r="O303" s="24"/>
      <c r="P303" s="24"/>
      <c r="Q303" s="24"/>
      <c r="R303" s="24"/>
      <c r="S303" s="24"/>
      <c r="T303" s="26">
        <f t="shared" si="32"/>
        <v>5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45730</v>
      </c>
      <c r="G304" s="24">
        <v>0.51</v>
      </c>
      <c r="H304" s="23">
        <v>45821</v>
      </c>
      <c r="I304" s="24">
        <v>0.51</v>
      </c>
      <c r="J304" s="23">
        <v>45915</v>
      </c>
      <c r="K304" s="24">
        <v>0.51</v>
      </c>
      <c r="L304" s="23">
        <v>45992</v>
      </c>
      <c r="M304" s="24">
        <v>0.51</v>
      </c>
      <c r="N304" s="25"/>
      <c r="O304" s="24"/>
      <c r="P304" s="24"/>
      <c r="Q304" s="24"/>
      <c r="R304" s="24"/>
      <c r="S304" s="24"/>
      <c r="T304" s="26">
        <f t="shared" si="32"/>
        <v>2.04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45749</v>
      </c>
      <c r="G305" s="24">
        <v>0.33</v>
      </c>
      <c r="H305" s="23">
        <v>45840</v>
      </c>
      <c r="I305" s="24">
        <v>0.33</v>
      </c>
      <c r="J305" s="23">
        <v>45931</v>
      </c>
      <c r="K305" s="24">
        <v>0.33</v>
      </c>
      <c r="L305" s="23">
        <v>46036</v>
      </c>
      <c r="M305" s="24">
        <v>0.33</v>
      </c>
      <c r="N305" s="25"/>
      <c r="O305" s="24"/>
      <c r="P305" s="24"/>
      <c r="Q305" s="24"/>
      <c r="R305" s="24"/>
      <c r="S305" s="24"/>
      <c r="T305" s="26">
        <f t="shared" si="32"/>
        <v>1.32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45680</v>
      </c>
      <c r="G306" s="24">
        <v>0.66500000000000004</v>
      </c>
      <c r="H306" s="23">
        <v>45769</v>
      </c>
      <c r="I306" s="24">
        <v>0.66500000000000004</v>
      </c>
      <c r="J306" s="23">
        <v>45860</v>
      </c>
      <c r="K306" s="24">
        <v>0.66500000000000004</v>
      </c>
      <c r="L306" s="23">
        <v>45953</v>
      </c>
      <c r="M306" s="24">
        <v>0.66500000000000004</v>
      </c>
      <c r="N306" s="25"/>
      <c r="O306" s="24"/>
      <c r="P306" s="24"/>
      <c r="Q306" s="24"/>
      <c r="R306" s="24"/>
      <c r="S306" s="24"/>
      <c r="T306" s="26">
        <f t="shared" si="32"/>
        <v>2.66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45702</v>
      </c>
      <c r="G307" s="24">
        <v>1.0449999999999999</v>
      </c>
      <c r="H307" s="23">
        <v>45793</v>
      </c>
      <c r="I307" s="24">
        <v>1.0449999999999999</v>
      </c>
      <c r="J307" s="23">
        <v>45884</v>
      </c>
      <c r="K307" s="24">
        <v>1.0649999999999999</v>
      </c>
      <c r="L307" s="23">
        <v>45975</v>
      </c>
      <c r="M307" s="24">
        <v>1.0649999999999999</v>
      </c>
      <c r="N307" s="25"/>
      <c r="O307" s="24"/>
      <c r="P307" s="24"/>
      <c r="Q307" s="24"/>
      <c r="R307" s="24"/>
      <c r="S307" s="24"/>
      <c r="T307" s="26">
        <f t="shared" si="32"/>
        <v>4.22</v>
      </c>
    </row>
    <row r="308" spans="1:21" x14ac:dyDescent="0.2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45702</v>
      </c>
      <c r="G308" s="24">
        <v>1.5</v>
      </c>
      <c r="H308" s="23">
        <v>45793</v>
      </c>
      <c r="I308" s="24">
        <v>1.5</v>
      </c>
      <c r="J308" s="23">
        <v>45884</v>
      </c>
      <c r="K308" s="24">
        <v>1.5</v>
      </c>
      <c r="L308" s="23">
        <v>45975</v>
      </c>
      <c r="M308" s="24">
        <v>1.5</v>
      </c>
      <c r="N308" s="25"/>
      <c r="O308" s="24"/>
      <c r="P308" s="24"/>
      <c r="Q308" s="24"/>
      <c r="R308" s="24"/>
      <c r="S308" s="24"/>
      <c r="T308" s="26">
        <f t="shared" si="32"/>
        <v>6</v>
      </c>
      <c r="U308" s="36"/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45700</v>
      </c>
      <c r="G309" s="24">
        <v>0.99</v>
      </c>
      <c r="H309" s="23">
        <v>45792</v>
      </c>
      <c r="I309" s="24">
        <v>0.99</v>
      </c>
      <c r="J309" s="23">
        <v>45884</v>
      </c>
      <c r="K309" s="24">
        <v>0.99</v>
      </c>
      <c r="L309" s="23">
        <v>45975</v>
      </c>
      <c r="M309" s="24">
        <v>1.03</v>
      </c>
      <c r="N309" s="25"/>
      <c r="O309" s="24"/>
      <c r="P309" s="24"/>
      <c r="Q309" s="24"/>
      <c r="R309" s="24"/>
      <c r="S309" s="24"/>
      <c r="T309" s="26">
        <f t="shared" si="32"/>
        <v>4</v>
      </c>
      <c r="U309" s="36"/>
    </row>
    <row r="310" spans="1:21" x14ac:dyDescent="0.25">
      <c r="B310" s="134" t="s">
        <v>227</v>
      </c>
      <c r="C310" s="137" t="s">
        <v>228</v>
      </c>
      <c r="D310" s="135" t="s">
        <v>55</v>
      </c>
      <c r="E310" s="22" t="s">
        <v>56</v>
      </c>
      <c r="F310" s="175">
        <v>45705</v>
      </c>
      <c r="G310" s="154">
        <f>0.15*0.98392283</f>
        <v>0.14758842450000001</v>
      </c>
      <c r="H310" s="23">
        <v>45789</v>
      </c>
      <c r="I310" s="24">
        <v>0.15</v>
      </c>
      <c r="J310" s="23">
        <v>45880</v>
      </c>
      <c r="K310" s="24">
        <v>0.15</v>
      </c>
      <c r="L310" s="23">
        <v>45968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32"/>
        <v>0.59758842450000005</v>
      </c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45726</v>
      </c>
      <c r="G311" s="24">
        <v>0.36</v>
      </c>
      <c r="H311" s="23">
        <v>45845</v>
      </c>
      <c r="I311" s="24">
        <v>0.36</v>
      </c>
      <c r="J311" s="23">
        <v>45929</v>
      </c>
      <c r="K311" s="24">
        <v>0.36</v>
      </c>
      <c r="L311" s="23">
        <v>46020</v>
      </c>
      <c r="M311" s="24">
        <v>0.36</v>
      </c>
      <c r="N311" s="25"/>
      <c r="O311" s="24"/>
      <c r="P311" s="24"/>
      <c r="Q311" s="24"/>
      <c r="R311" s="24"/>
      <c r="S311" s="24"/>
      <c r="T311" s="26">
        <f t="shared" si="32"/>
        <v>1.44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45723</v>
      </c>
      <c r="G312" s="24">
        <v>0.12</v>
      </c>
      <c r="H312" s="23">
        <v>45814</v>
      </c>
      <c r="I312" s="24">
        <v>0.15</v>
      </c>
      <c r="J312" s="23">
        <v>45905</v>
      </c>
      <c r="K312" s="24">
        <v>0.15</v>
      </c>
      <c r="L312" s="23">
        <v>45996</v>
      </c>
      <c r="M312" s="24">
        <v>0.15</v>
      </c>
      <c r="N312" s="25"/>
      <c r="O312" s="24"/>
      <c r="P312" s="24"/>
      <c r="Q312" s="24"/>
      <c r="R312" s="24"/>
      <c r="S312" s="24"/>
      <c r="T312" s="26">
        <f t="shared" si="32"/>
        <v>0.57000000000000006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45730</v>
      </c>
      <c r="G313" s="24">
        <v>0.79</v>
      </c>
      <c r="H313" s="23">
        <v>45821</v>
      </c>
      <c r="I313" s="24">
        <v>0.79</v>
      </c>
      <c r="J313" s="23">
        <v>45915</v>
      </c>
      <c r="K313" s="24">
        <v>0.79</v>
      </c>
      <c r="L313" s="23">
        <v>46006</v>
      </c>
      <c r="M313" s="24">
        <v>0.79</v>
      </c>
      <c r="N313" s="25"/>
      <c r="O313" s="24"/>
      <c r="P313" s="24"/>
      <c r="Q313" s="24"/>
      <c r="R313" s="24"/>
      <c r="S313" s="24"/>
      <c r="T313" s="26">
        <f t="shared" si="32"/>
        <v>3.16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45716</v>
      </c>
      <c r="G314" s="24">
        <v>3</v>
      </c>
      <c r="H314" s="23">
        <v>45807</v>
      </c>
      <c r="I314" s="24">
        <v>3</v>
      </c>
      <c r="J314" s="23">
        <v>45898</v>
      </c>
      <c r="K314" s="24">
        <v>4</v>
      </c>
      <c r="L314" s="23">
        <v>45993</v>
      </c>
      <c r="M314" s="24">
        <v>4</v>
      </c>
      <c r="N314" s="25"/>
      <c r="O314" s="24"/>
      <c r="P314" s="24"/>
      <c r="Q314" s="24"/>
      <c r="R314" s="24"/>
      <c r="S314" s="24"/>
      <c r="T314" s="26">
        <f t="shared" si="32"/>
        <v>14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45729</v>
      </c>
      <c r="G315" s="24">
        <v>2.2999999999999998</v>
      </c>
      <c r="H315" s="23">
        <v>45813</v>
      </c>
      <c r="I315" s="24">
        <v>2.2999999999999998</v>
      </c>
      <c r="J315" s="23">
        <v>45904</v>
      </c>
      <c r="K315" s="24">
        <v>2.2999999999999998</v>
      </c>
      <c r="L315" s="23">
        <v>45995</v>
      </c>
      <c r="M315" s="24">
        <v>2.2999999999999998</v>
      </c>
      <c r="N315" s="25"/>
      <c r="O315" s="24"/>
      <c r="P315" s="24"/>
      <c r="Q315" s="24"/>
      <c r="R315" s="24"/>
      <c r="S315" s="24"/>
      <c r="T315" s="26">
        <f t="shared" si="32"/>
        <v>9.1999999999999993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45716</v>
      </c>
      <c r="G316" s="24">
        <v>1.1299999999999999</v>
      </c>
      <c r="H316" s="23">
        <v>45793</v>
      </c>
      <c r="I316" s="24">
        <v>1.1299999999999999</v>
      </c>
      <c r="J316" s="23">
        <v>45884</v>
      </c>
      <c r="K316" s="24">
        <v>1.1299999999999999</v>
      </c>
      <c r="L316" s="23">
        <v>45975</v>
      </c>
      <c r="M316" s="24">
        <v>1.19</v>
      </c>
      <c r="N316" s="25"/>
      <c r="O316" s="24"/>
      <c r="P316" s="24"/>
      <c r="Q316" s="24"/>
      <c r="R316" s="24"/>
      <c r="S316" s="24"/>
      <c r="T316" s="26">
        <f t="shared" si="32"/>
        <v>4.58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45698</v>
      </c>
      <c r="G317" s="24">
        <v>1.67</v>
      </c>
      <c r="H317" s="23">
        <v>45786</v>
      </c>
      <c r="I317" s="24">
        <v>1.68</v>
      </c>
      <c r="J317" s="23">
        <v>45877</v>
      </c>
      <c r="K317" s="24">
        <v>1.68</v>
      </c>
      <c r="L317" s="23">
        <v>45971</v>
      </c>
      <c r="M317" s="24">
        <v>1.68</v>
      </c>
      <c r="N317" s="25"/>
      <c r="O317" s="24"/>
      <c r="P317" s="24"/>
      <c r="Q317" s="24"/>
      <c r="R317" s="24"/>
      <c r="S317" s="24"/>
      <c r="T317" s="26">
        <f t="shared" si="32"/>
        <v>6.7099999999999991</v>
      </c>
    </row>
    <row r="318" spans="1:21" x14ac:dyDescent="0.2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32"/>
        <v>0</v>
      </c>
      <c r="U318" s="36"/>
    </row>
    <row r="319" spans="1:21" x14ac:dyDescent="0.2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45706</v>
      </c>
      <c r="G319" s="24">
        <v>1.24</v>
      </c>
      <c r="H319" s="23">
        <v>45804</v>
      </c>
      <c r="I319" s="24">
        <v>1.3</v>
      </c>
      <c r="J319" s="23">
        <v>45895</v>
      </c>
      <c r="K319" s="24">
        <v>1.3</v>
      </c>
      <c r="L319" s="23">
        <v>45986</v>
      </c>
      <c r="M319" s="24">
        <v>1.3</v>
      </c>
      <c r="N319" s="25"/>
      <c r="O319" s="24"/>
      <c r="P319" s="24"/>
      <c r="Q319" s="24"/>
      <c r="R319" s="24"/>
      <c r="S319" s="24"/>
      <c r="T319" s="26">
        <f t="shared" si="32"/>
        <v>5.14</v>
      </c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45751</v>
      </c>
      <c r="G320" s="24">
        <v>1.4</v>
      </c>
      <c r="H320" s="23">
        <v>45841</v>
      </c>
      <c r="I320" s="24">
        <v>1.4</v>
      </c>
      <c r="J320" s="23">
        <v>45936</v>
      </c>
      <c r="K320" s="24">
        <v>1.5</v>
      </c>
      <c r="L320" s="23">
        <v>46028</v>
      </c>
      <c r="M320" s="24">
        <v>1.5</v>
      </c>
      <c r="N320" s="25"/>
      <c r="O320" s="24"/>
      <c r="P320" s="24"/>
      <c r="Q320" s="24"/>
      <c r="R320" s="24"/>
      <c r="S320" s="24"/>
      <c r="T320" s="26">
        <f t="shared" si="32"/>
        <v>5.8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45756</v>
      </c>
      <c r="G321" s="24">
        <v>0.76</v>
      </c>
      <c r="H321" s="23">
        <v>45847</v>
      </c>
      <c r="I321" s="24">
        <v>0.76</v>
      </c>
      <c r="J321" s="23">
        <v>45939</v>
      </c>
      <c r="K321" s="24">
        <v>0.76</v>
      </c>
      <c r="L321" s="23">
        <v>46031</v>
      </c>
      <c r="M321" s="24">
        <v>0.87</v>
      </c>
      <c r="N321" s="25"/>
      <c r="O321" s="24"/>
      <c r="P321" s="24"/>
      <c r="Q321" s="24"/>
      <c r="R321" s="24"/>
      <c r="S321" s="24"/>
      <c r="T321" s="26">
        <f t="shared" si="32"/>
        <v>3.1500000000000004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45713</v>
      </c>
      <c r="G322" s="24">
        <v>1.77</v>
      </c>
      <c r="H322" s="23">
        <v>45810</v>
      </c>
      <c r="I322" s="24">
        <v>1.77</v>
      </c>
      <c r="J322" s="23">
        <v>45902</v>
      </c>
      <c r="K322" s="24">
        <v>1.77</v>
      </c>
      <c r="L322" s="23">
        <v>45992</v>
      </c>
      <c r="M322" s="24">
        <v>1.86</v>
      </c>
      <c r="N322" s="25"/>
      <c r="O322" s="24"/>
      <c r="P322" s="24"/>
      <c r="Q322" s="24"/>
      <c r="R322" s="24"/>
      <c r="S322" s="24"/>
      <c r="T322" s="26">
        <f t="shared" si="32"/>
        <v>7.1700000000000008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45744</v>
      </c>
      <c r="G323" s="24">
        <v>0.7</v>
      </c>
      <c r="H323" s="23">
        <v>45835</v>
      </c>
      <c r="I323" s="24">
        <v>0.71</v>
      </c>
      <c r="J323" s="23">
        <v>45926</v>
      </c>
      <c r="K323" s="24">
        <v>0.71</v>
      </c>
      <c r="L323" s="23">
        <v>46017</v>
      </c>
      <c r="M323" s="24">
        <v>0.71</v>
      </c>
      <c r="N323" s="25"/>
      <c r="O323" s="24"/>
      <c r="P323" s="24"/>
      <c r="Q323" s="24"/>
      <c r="R323" s="24"/>
      <c r="S323" s="24"/>
      <c r="T323" s="26">
        <f t="shared" si="32"/>
        <v>2.83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45733</v>
      </c>
      <c r="G324" s="24">
        <v>0.81</v>
      </c>
      <c r="H324" s="23">
        <v>45824</v>
      </c>
      <c r="I324" s="24">
        <v>0.81</v>
      </c>
      <c r="J324" s="23">
        <v>45915</v>
      </c>
      <c r="K324" s="24">
        <v>0.81</v>
      </c>
      <c r="L324" s="23">
        <v>46006</v>
      </c>
      <c r="M324" s="24">
        <v>0.85</v>
      </c>
      <c r="N324" s="25"/>
      <c r="O324" s="24"/>
      <c r="P324" s="24"/>
      <c r="Q324" s="24"/>
      <c r="R324" s="24"/>
      <c r="S324" s="24"/>
      <c r="T324" s="26">
        <f>G324+I324+K324+M324+O324</f>
        <v>3.2800000000000002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45708</v>
      </c>
      <c r="G325" s="24">
        <v>0.83</v>
      </c>
      <c r="H325" s="23">
        <v>45792</v>
      </c>
      <c r="I325" s="24">
        <v>0.83</v>
      </c>
      <c r="J325" s="23">
        <v>45890</v>
      </c>
      <c r="K325" s="24">
        <v>0.83</v>
      </c>
      <c r="L325" s="23">
        <v>45981</v>
      </c>
      <c r="M325" s="24">
        <v>0.91</v>
      </c>
      <c r="N325" s="25"/>
      <c r="O325" s="24"/>
      <c r="P325" s="24"/>
      <c r="Q325" s="24"/>
      <c r="R325" s="24"/>
      <c r="S325" s="24"/>
      <c r="T325" s="26">
        <f t="shared" si="32"/>
        <v>3.4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45757</v>
      </c>
      <c r="G326" s="24">
        <v>0.5</v>
      </c>
      <c r="H326" s="23">
        <v>45848</v>
      </c>
      <c r="I326" s="24">
        <v>0.5</v>
      </c>
      <c r="J326" s="23">
        <v>45939</v>
      </c>
      <c r="K326" s="24">
        <v>0.5</v>
      </c>
      <c r="L326" s="23">
        <v>46031</v>
      </c>
      <c r="M326" s="24">
        <v>0.5</v>
      </c>
      <c r="N326" s="25"/>
      <c r="O326" s="24"/>
      <c r="P326" s="24"/>
      <c r="Q326" s="24"/>
      <c r="R326" s="24"/>
      <c r="S326" s="24"/>
      <c r="T326" s="26">
        <f t="shared" si="32"/>
        <v>2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45723</v>
      </c>
      <c r="G327" s="24">
        <v>1.355</v>
      </c>
      <c r="H327" s="23">
        <v>45814</v>
      </c>
      <c r="I327" s="24">
        <v>1.4225000000000001</v>
      </c>
      <c r="J327" s="23">
        <v>45905</v>
      </c>
      <c r="K327" s="24">
        <v>1.4225000000000001</v>
      </c>
      <c r="L327" s="23">
        <v>45996</v>
      </c>
      <c r="M327" s="24">
        <v>1.4225000000000001</v>
      </c>
      <c r="N327" s="25"/>
      <c r="O327" s="24"/>
      <c r="P327" s="24"/>
      <c r="Q327" s="24"/>
      <c r="R327" s="24"/>
      <c r="S327" s="24"/>
      <c r="T327" s="26">
        <f t="shared" si="32"/>
        <v>5.6225000000000005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45681</v>
      </c>
      <c r="G328" s="24">
        <v>0.43</v>
      </c>
      <c r="H328" s="23">
        <v>45786</v>
      </c>
      <c r="I328" s="24">
        <v>0.43</v>
      </c>
      <c r="J328" s="23">
        <v>45863</v>
      </c>
      <c r="K328" s="24">
        <v>0.43</v>
      </c>
      <c r="L328" s="23">
        <v>45968</v>
      </c>
      <c r="M328" s="24">
        <v>0.43</v>
      </c>
      <c r="N328" s="25"/>
      <c r="O328" s="24"/>
      <c r="P328" s="24"/>
      <c r="Q328" s="24"/>
      <c r="R328" s="24"/>
      <c r="S328" s="24"/>
      <c r="T328" s="26">
        <f t="shared" si="32"/>
        <v>1.72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45736</v>
      </c>
      <c r="G329" s="24">
        <v>1.35</v>
      </c>
      <c r="H329" s="23">
        <v>45835</v>
      </c>
      <c r="I329" s="24">
        <v>1.35</v>
      </c>
      <c r="J329" s="23">
        <v>45933</v>
      </c>
      <c r="K329" s="24">
        <v>1.47</v>
      </c>
      <c r="L329" s="23">
        <v>46017</v>
      </c>
      <c r="M329" s="24">
        <v>1.47</v>
      </c>
      <c r="N329" s="25"/>
      <c r="O329" s="24"/>
      <c r="P329" s="24"/>
      <c r="Q329" s="24"/>
      <c r="R329" s="24"/>
      <c r="S329" s="24"/>
      <c r="T329" s="26">
        <f t="shared" si="32"/>
        <v>5.64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45681</v>
      </c>
      <c r="G330" s="24">
        <v>1.0065</v>
      </c>
      <c r="H330" s="23">
        <v>45768</v>
      </c>
      <c r="I330" s="24">
        <v>1.0568</v>
      </c>
      <c r="J330" s="23">
        <v>45856</v>
      </c>
      <c r="K330" s="24">
        <v>1.0568</v>
      </c>
      <c r="L330" s="23">
        <v>45954</v>
      </c>
      <c r="M330" s="24">
        <v>1.0568</v>
      </c>
      <c r="N330" s="25"/>
      <c r="O330" s="24"/>
      <c r="P330" s="24"/>
      <c r="Q330" s="24"/>
      <c r="R330" s="24"/>
      <c r="S330" s="24"/>
      <c r="T330" s="26">
        <f t="shared" si="32"/>
        <v>4.1768999999999998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45722</v>
      </c>
      <c r="G331" s="24">
        <v>0.85</v>
      </c>
      <c r="H331" s="23">
        <v>45813</v>
      </c>
      <c r="I331" s="24">
        <v>0.89</v>
      </c>
      <c r="J331" s="23">
        <v>45904</v>
      </c>
      <c r="K331" s="24">
        <v>0.89</v>
      </c>
      <c r="L331" s="23">
        <v>45995</v>
      </c>
      <c r="M331" s="24">
        <v>0.89</v>
      </c>
      <c r="N331" s="25"/>
      <c r="O331" s="24"/>
      <c r="P331" s="140"/>
      <c r="Q331" s="140"/>
      <c r="R331" s="140"/>
      <c r="S331" s="140"/>
      <c r="T331" s="26">
        <f t="shared" si="32"/>
        <v>3.52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45709</v>
      </c>
      <c r="G332" s="24">
        <v>0.63</v>
      </c>
      <c r="H332" s="23">
        <v>45800</v>
      </c>
      <c r="I332" s="24">
        <v>0.68</v>
      </c>
      <c r="J332" s="23">
        <v>45884</v>
      </c>
      <c r="K332" s="24">
        <v>0.68</v>
      </c>
      <c r="L332" s="23">
        <v>45982</v>
      </c>
      <c r="M332" s="24">
        <v>0.68</v>
      </c>
      <c r="N332" s="25"/>
      <c r="O332" s="24"/>
      <c r="P332" s="24"/>
      <c r="Q332" s="24"/>
      <c r="R332" s="24"/>
      <c r="S332" s="24"/>
      <c r="T332" s="26">
        <f>G332+I332+K332+M332+O332</f>
        <v>2.6700000000000004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45693</v>
      </c>
      <c r="G333" s="24">
        <v>0.28499999999999998</v>
      </c>
      <c r="H333" s="23">
        <v>45812</v>
      </c>
      <c r="I333" s="24">
        <v>0.28499999999999998</v>
      </c>
      <c r="J333" s="23">
        <v>45903</v>
      </c>
      <c r="K333" s="24">
        <v>0.28499999999999998</v>
      </c>
      <c r="L333" s="23">
        <v>45994</v>
      </c>
      <c r="M333" s="24">
        <v>0.28499999999999998</v>
      </c>
      <c r="N333" s="25"/>
      <c r="O333" s="24"/>
      <c r="P333" s="24"/>
      <c r="Q333" s="24"/>
      <c r="R333" s="24"/>
      <c r="S333" s="24"/>
      <c r="T333" s="26">
        <f t="shared" si="32"/>
        <v>1.1399999999999999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45706</v>
      </c>
      <c r="G334" s="24">
        <v>0.72</v>
      </c>
      <c r="H334" s="23">
        <v>45796</v>
      </c>
      <c r="I334" s="24">
        <v>0.74</v>
      </c>
      <c r="J334" s="23">
        <v>45887</v>
      </c>
      <c r="K334" s="24">
        <v>0.74</v>
      </c>
      <c r="L334" s="23">
        <v>45978</v>
      </c>
      <c r="M334" s="24">
        <v>0.74</v>
      </c>
      <c r="N334" s="25"/>
      <c r="O334" s="24"/>
      <c r="P334" s="24"/>
      <c r="Q334" s="24"/>
      <c r="R334" s="24"/>
      <c r="S334" s="24"/>
      <c r="T334" s="26">
        <f t="shared" si="32"/>
        <v>2.9400000000000004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45702</v>
      </c>
      <c r="G335" s="24">
        <v>0.61</v>
      </c>
      <c r="H335" s="23">
        <v>45793</v>
      </c>
      <c r="I335" s="24">
        <v>0.61</v>
      </c>
      <c r="J335" s="23">
        <v>45884</v>
      </c>
      <c r="K335" s="24">
        <v>0.61</v>
      </c>
      <c r="L335" s="23">
        <v>45975</v>
      </c>
      <c r="M335" s="24">
        <v>0.62</v>
      </c>
      <c r="N335" s="25"/>
      <c r="O335" s="24"/>
      <c r="P335" s="24"/>
      <c r="Q335" s="24"/>
      <c r="R335" s="24"/>
      <c r="S335" s="24"/>
      <c r="T335" s="26">
        <f t="shared" si="32"/>
        <v>2.4500000000000002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45688</v>
      </c>
      <c r="G336" s="24">
        <v>1.36</v>
      </c>
      <c r="H336" s="23">
        <v>45777</v>
      </c>
      <c r="I336" s="24">
        <v>1.36</v>
      </c>
      <c r="J336" s="23">
        <v>45869</v>
      </c>
      <c r="K336" s="24">
        <v>1.36</v>
      </c>
      <c r="L336" s="23">
        <v>45961</v>
      </c>
      <c r="M336" s="24">
        <v>1.42</v>
      </c>
      <c r="N336" s="25"/>
      <c r="O336" s="24"/>
      <c r="P336" s="24"/>
      <c r="Q336" s="24"/>
      <c r="R336" s="24"/>
      <c r="S336" s="24"/>
      <c r="T336" s="26">
        <f t="shared" si="32"/>
        <v>5.5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45716</v>
      </c>
      <c r="G337" s="24">
        <v>1.34</v>
      </c>
      <c r="H337" s="23">
        <v>45807</v>
      </c>
      <c r="I337" s="24">
        <v>1.34</v>
      </c>
      <c r="J337" s="23">
        <v>45898</v>
      </c>
      <c r="K337" s="24">
        <v>1.38</v>
      </c>
      <c r="L337" s="23">
        <v>45996</v>
      </c>
      <c r="M337" s="24">
        <v>1.38</v>
      </c>
      <c r="N337" s="25"/>
      <c r="O337" s="24"/>
      <c r="P337" s="24"/>
      <c r="Q337" s="24"/>
      <c r="R337" s="24"/>
      <c r="S337" s="24"/>
      <c r="T337" s="26">
        <f t="shared" si="32"/>
        <v>5.44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45726</v>
      </c>
      <c r="G338" s="24">
        <v>2.1</v>
      </c>
      <c r="H338" s="23">
        <v>45824</v>
      </c>
      <c r="I338" s="24">
        <v>2.21</v>
      </c>
      <c r="J338" s="23">
        <v>45915</v>
      </c>
      <c r="K338" s="24">
        <v>2.21</v>
      </c>
      <c r="L338" s="23">
        <v>45999</v>
      </c>
      <c r="M338" s="24">
        <v>2.21</v>
      </c>
      <c r="N338" s="25"/>
      <c r="O338" s="24"/>
      <c r="P338" s="24"/>
      <c r="Q338" s="24"/>
      <c r="R338" s="24"/>
      <c r="S338" s="24"/>
      <c r="T338" s="26">
        <f t="shared" si="32"/>
        <v>8.73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45747</v>
      </c>
      <c r="G339" s="24">
        <v>0.5</v>
      </c>
      <c r="H339" s="23">
        <v>45838</v>
      </c>
      <c r="I339" s="24">
        <v>0.5</v>
      </c>
      <c r="J339" s="23">
        <v>45930</v>
      </c>
      <c r="K339" s="24">
        <v>0.52</v>
      </c>
      <c r="L339" s="23">
        <v>46022</v>
      </c>
      <c r="M339" s="24">
        <v>0.52</v>
      </c>
      <c r="N339" s="25"/>
      <c r="O339" s="24"/>
      <c r="P339" s="24"/>
      <c r="Q339" s="24"/>
      <c r="R339" s="24"/>
      <c r="S339" s="24"/>
      <c r="T339" s="26">
        <f t="shared" si="32"/>
        <v>2.04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45757</v>
      </c>
      <c r="G340" s="24">
        <v>0.67749999999999999</v>
      </c>
      <c r="H340" s="23">
        <v>45848</v>
      </c>
      <c r="I340" s="24">
        <v>0.67749999999999999</v>
      </c>
      <c r="J340" s="23">
        <v>45940</v>
      </c>
      <c r="K340" s="24">
        <v>0.69</v>
      </c>
      <c r="L340" s="23">
        <v>46034</v>
      </c>
      <c r="M340" s="24">
        <v>0.69</v>
      </c>
      <c r="N340" s="25"/>
      <c r="O340" s="24"/>
      <c r="P340" s="24"/>
      <c r="Q340" s="24"/>
      <c r="R340" s="24"/>
      <c r="S340" s="24"/>
      <c r="T340" s="26">
        <f t="shared" si="32"/>
        <v>2.7349999999999999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45699</v>
      </c>
      <c r="G341" s="24">
        <v>0.59</v>
      </c>
      <c r="H341" s="23">
        <v>45790</v>
      </c>
      <c r="I341" s="24">
        <v>0.59</v>
      </c>
      <c r="J341" s="23">
        <v>45881</v>
      </c>
      <c r="K341" s="24">
        <v>0.59</v>
      </c>
      <c r="L341" s="23">
        <v>45973</v>
      </c>
      <c r="M341" s="24">
        <v>0.67</v>
      </c>
      <c r="N341" s="25"/>
      <c r="O341" s="24"/>
      <c r="P341" s="24"/>
      <c r="Q341" s="24"/>
      <c r="R341" s="24"/>
      <c r="S341" s="24"/>
      <c r="T341" s="26">
        <f t="shared" si="32"/>
        <v>2.44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45737</v>
      </c>
      <c r="G342" s="24">
        <v>0.23499999999999999</v>
      </c>
      <c r="H342" s="23">
        <v>45786</v>
      </c>
      <c r="I342" s="24">
        <v>0.23499999999999999</v>
      </c>
      <c r="J342" s="23">
        <v>45884</v>
      </c>
      <c r="K342" s="24">
        <v>0.23499999999999999</v>
      </c>
      <c r="L342" s="23">
        <v>46003</v>
      </c>
      <c r="M342" s="24">
        <v>0.23499999999999999</v>
      </c>
      <c r="N342" s="25"/>
      <c r="O342" s="24"/>
      <c r="P342" s="24"/>
      <c r="Q342" s="24"/>
      <c r="R342" s="24"/>
      <c r="S342" s="24"/>
      <c r="T342" s="26">
        <f t="shared" si="32"/>
        <v>0.94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45832</v>
      </c>
      <c r="G343" s="24">
        <v>0.5</v>
      </c>
      <c r="H343" s="23">
        <v>46006</v>
      </c>
      <c r="I343" s="24">
        <v>0.75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1.25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45695</v>
      </c>
      <c r="G344" s="24">
        <v>0.4</v>
      </c>
      <c r="H344" s="23">
        <v>45786</v>
      </c>
      <c r="I344" s="24">
        <v>0.4</v>
      </c>
      <c r="J344" s="23">
        <v>45877</v>
      </c>
      <c r="K344" s="24">
        <v>0.45</v>
      </c>
      <c r="L344" s="23">
        <v>45968</v>
      </c>
      <c r="M344" s="24">
        <v>0.45</v>
      </c>
      <c r="N344" s="25"/>
      <c r="O344" s="24"/>
      <c r="P344" s="24"/>
      <c r="Q344" s="24"/>
      <c r="R344" s="24"/>
      <c r="S344" s="24"/>
      <c r="T344" s="26">
        <f t="shared" si="32"/>
        <v>1.7</v>
      </c>
    </row>
  </sheetData>
  <sheetProtection algorithmName="SHA-512" hashValue="6ikeu3DIVRYlO5ufW4/gapCIaQayAW3/D1pAdXoPrlFe34AS7Re4Y0gerrbuxEONwgYt+9gWKnQ4kVW4BL7qcA==" saltValue="5lYcpxe/gsuokzcmN6TxW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313" activePane="bottomRight" state="frozen"/>
      <selection pane="topRight" activeCell="B1" sqref="B1"/>
      <selection pane="bottomLeft" activeCell="A13" sqref="A13"/>
      <selection pane="bottomRight" activeCell="B344" sqref="B344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939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2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2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2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2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2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2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2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2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2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2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2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2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2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2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2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2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2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2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2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2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2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2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2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2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2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2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2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2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2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2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2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2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2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2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2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2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2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2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2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2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2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2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2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2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2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2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2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2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2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2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2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2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2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2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2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2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2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2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2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2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2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2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2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2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2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2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2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2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2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2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2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2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2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2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2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2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2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2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2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2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2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2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2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2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2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2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2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2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2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2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2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2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2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2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2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2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2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2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2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2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2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2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2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2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2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2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2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2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2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2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2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2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2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2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2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2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2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2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2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2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2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2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2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2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2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2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2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2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2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2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2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2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2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2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2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2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2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2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2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2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2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127" activePane="bottomRight" state="frozen"/>
      <selection pane="topRight" activeCell="B1" sqref="B1"/>
      <selection pane="bottomLeft" activeCell="A13" sqref="A13"/>
      <selection pane="bottomRight" activeCell="B338" sqref="B338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710937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909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2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2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2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2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2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2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2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2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2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2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2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2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2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2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2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2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2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2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2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2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2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2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2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2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2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2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2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2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2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2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2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2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2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2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2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2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2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2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2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2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2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2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2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2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2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2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2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2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2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2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2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2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2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2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2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2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2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2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2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2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2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2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2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2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2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2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2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2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2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2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2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2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2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2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2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2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2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2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2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2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2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2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2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2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2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2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2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2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2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2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2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2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2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2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2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2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2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2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2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2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2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2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2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2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2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2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2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2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2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2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2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2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2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2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2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2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2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2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2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2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2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2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2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2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2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2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2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2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2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2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2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2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2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2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2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2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2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2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2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2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2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2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2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2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2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2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2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2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2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2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2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2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2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2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2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2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2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2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2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2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2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2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2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2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2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2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2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2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2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2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2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2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2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2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2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2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2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2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2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2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2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818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2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2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2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2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2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2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2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2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2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2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2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2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2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2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2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2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2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2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2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2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2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2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2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2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2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2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2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2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2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2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2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2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2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2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2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2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2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2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2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2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2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2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2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2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2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2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2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2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2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2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2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2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2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2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2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2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2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2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2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2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2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2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2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2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2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2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2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2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2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2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2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2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2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2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2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2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2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2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2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2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2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2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2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2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2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2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2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2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2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2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2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2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2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2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2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2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2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2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2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2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2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2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2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2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2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2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2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2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2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2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2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2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2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2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2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2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2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2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2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2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2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2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2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2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2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2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2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2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2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2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2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2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2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2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2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2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2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2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2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2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2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2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2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2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2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2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2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2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2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2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2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2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2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2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2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2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2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2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2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2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2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2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2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2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2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2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2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2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2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2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2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2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2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2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2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2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2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2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2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2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2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2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2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2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2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2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2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.75" thickBot="1" x14ac:dyDescent="0.3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2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.75" thickBot="1" x14ac:dyDescent="0.3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2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2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2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2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2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2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2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2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2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2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2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2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2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2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2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2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2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2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2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2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2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2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2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2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2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2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2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2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2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2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2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2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2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2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2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2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2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2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2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2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2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2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2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2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2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2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2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2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2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2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2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2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2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2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2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2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.75" thickBot="1" x14ac:dyDescent="0.3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2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.75" thickBot="1" x14ac:dyDescent="0.3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2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2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2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2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2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2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2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2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2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2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2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2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2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2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2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2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2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2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2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2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2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2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2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2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2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2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2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2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2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2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2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2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2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2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2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2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2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2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2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2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2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2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2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2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2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2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2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2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2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2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2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2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2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2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2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2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2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2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2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2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2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2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2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2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2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2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2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2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803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2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2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2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2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2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2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2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2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2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2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2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2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2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2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2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2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2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2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2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2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2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2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2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2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2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2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2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2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2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2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2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2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2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2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2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2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2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2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2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2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2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2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2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.75" thickBot="1" x14ac:dyDescent="0.3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2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.75" thickBot="1" x14ac:dyDescent="0.3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2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2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.75" thickBot="1" x14ac:dyDescent="0.3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2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.75" thickBot="1" x14ac:dyDescent="0.3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2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2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2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2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2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2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2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2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2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2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2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2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2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2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2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2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2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2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2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2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2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2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2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2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2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2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2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2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2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2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2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2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2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2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2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2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2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2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2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2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2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2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2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2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2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2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2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2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2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2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2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2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2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2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2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2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2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2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2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2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2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2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2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2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2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2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2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2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2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2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2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2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2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2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2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2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2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2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2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2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2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2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2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2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2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2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2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2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2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2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2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2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2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2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2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2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2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2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2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2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2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2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2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2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2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2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2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.75" thickBot="1" x14ac:dyDescent="0.3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2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.75" thickBot="1" x14ac:dyDescent="0.3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2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2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2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2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2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2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2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2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2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2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2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2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2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2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2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2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2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2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2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2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2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2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2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2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2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2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2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2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2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2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2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2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2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2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2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2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2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2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.75" thickBot="1" x14ac:dyDescent="0.3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2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.75" thickBot="1" x14ac:dyDescent="0.3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2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2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2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2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2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2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2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2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2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2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2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2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2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2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2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2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2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2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2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2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2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2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2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2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2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2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2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2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2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2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2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2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2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2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2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2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2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2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2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2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2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2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2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2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2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2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2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2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2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2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2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2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2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2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2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2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2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2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2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2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2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2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2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2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2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2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2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2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731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2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2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2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2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2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2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2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2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2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2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2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2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2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2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2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2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2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2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2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2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2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2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2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2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2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2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2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2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2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2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2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2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2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2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2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2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2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2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2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2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2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2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2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2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2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2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2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2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2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2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2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2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2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2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2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2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2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2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2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2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2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2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2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2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2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2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2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2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2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2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2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2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2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2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2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2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2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2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2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2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2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2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2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2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2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2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2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2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2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2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2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2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2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2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2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2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2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2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2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2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2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2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2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2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2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2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2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2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2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2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2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2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2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2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2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2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2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2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2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2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2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2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2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2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2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2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2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2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2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2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2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2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2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2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2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2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2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2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2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2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2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2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2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2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2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2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2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2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2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2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2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2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2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2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2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2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2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2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2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2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2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2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2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.75" thickBot="1" x14ac:dyDescent="0.3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2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.75" thickBot="1" x14ac:dyDescent="0.3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2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2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2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2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2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2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2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2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2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2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2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2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2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2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2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2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2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2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2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2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2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2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2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2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2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2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2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2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2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2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2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2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2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2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2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2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2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2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2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2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2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2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2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2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2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2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2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2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2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2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2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2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2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2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2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2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2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2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2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2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2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2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2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2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2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2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2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2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2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2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2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2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2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2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2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2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2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2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2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2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2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2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2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2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2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2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2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2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2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2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2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2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2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2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2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2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2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2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2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2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2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2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2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2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2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2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2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2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2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2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43776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2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2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2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2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2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2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2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2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2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2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2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2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2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2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2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2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2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2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2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2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2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2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2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2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2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2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2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2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2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2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2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2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2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2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2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2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2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2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2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2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2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2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2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2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2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2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2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2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2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2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2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2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2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2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2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2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2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2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2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2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2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2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2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2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2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2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2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2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2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2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2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2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2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2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.75" thickBot="1" x14ac:dyDescent="0.3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2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.75" thickBot="1" x14ac:dyDescent="0.3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2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2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2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2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2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2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2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2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2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2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2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2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2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2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2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2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2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2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2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2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2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2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2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2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2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2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2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2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2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2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2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2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2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2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2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2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2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2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2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2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2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2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2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2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2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2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2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2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2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2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2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2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2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2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2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2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2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2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2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2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2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2025_EDSP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2026-05-21T08:34:05Z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