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filterPrivacy="1" codeName="ThisWorkbook" defaultThemeVersion="124226"/>
  <xr:revisionPtr revIDLastSave="0" documentId="13_ncr:1_{070B026A-C298-432F-BD6E-7F0954BD54F9}" xr6:coauthVersionLast="47" xr6:coauthVersionMax="47" xr10:uidLastSave="{00000000-0000-0000-0000-000000000000}"/>
  <bookViews>
    <workbookView xWindow="28680" yWindow="-120" windowWidth="29040" windowHeight="17520" tabRatio="639" firstSheet="1" activeTab="1" xr2:uid="{00000000-000D-0000-FFFF-FFFF00000000}"/>
  </bookViews>
  <sheets>
    <sheet name="Helper" sheetId="12" state="hidden" r:id="rId1"/>
    <sheet name="2026" sheetId="18" r:id="rId2"/>
    <sheet name="2025_EDSP" sheetId="17" r:id="rId3"/>
    <sheet name="2024_EDSP" sheetId="16" r:id="rId4"/>
    <sheet name="2023_EDSP" sheetId="15" r:id="rId5"/>
    <sheet name="2022_EDSP" sheetId="14" r:id="rId6"/>
    <sheet name="2021_EDSP" sheetId="13" r:id="rId7"/>
    <sheet name="2020_EDSP" sheetId="11" r:id="rId8"/>
    <sheet name="2020_OLD" sheetId="10" state="hidden" r:id="rId9"/>
    <sheet name="EDSP_2019" sheetId="7" r:id="rId10"/>
    <sheet name="EDSP_2018" sheetId="1" r:id="rId11"/>
    <sheet name="EDSP_2017" sheetId="5" r:id="rId12"/>
    <sheet name="EDSP_2016" sheetId="9" r:id="rId13"/>
    <sheet name="EDSP_2015" sheetId="8" r:id="rId14"/>
  </sheets>
  <definedNames>
    <definedName name="_xlnm._FilterDatabase" localSheetId="7" hidden="1">'2020_EDSP'!$B$12:$U$312</definedName>
    <definedName name="_xlnm._FilterDatabase" localSheetId="6" hidden="1">'2021_EDSP'!$B$12:$U$340</definedName>
    <definedName name="_xlnm._FilterDatabase" localSheetId="5" hidden="1">'2022_EDSP'!$A$14:$U$357</definedName>
    <definedName name="_xlnm._FilterDatabase" localSheetId="4" hidden="1">'2023_EDSP'!$A$12:$U$12</definedName>
    <definedName name="_xlnm._FilterDatabase" localSheetId="3" hidden="1">'2024_EDSP'!$A$12:$U$12</definedName>
    <definedName name="_xlnm._FilterDatabase" localSheetId="2" hidden="1">'2025_EDSP'!$A$12:$U$12</definedName>
    <definedName name="_xlnm._FilterDatabase" localSheetId="1" hidden="1">'2026'!$A$12:$U$12</definedName>
    <definedName name="Exp20FY">Helper!$B$48</definedName>
    <definedName name="Exp20FYUS">Helper!$C$48</definedName>
    <definedName name="Exp20H1">Helper!$B$46</definedName>
    <definedName name="Exp20Q1">Helper!$B$45</definedName>
    <definedName name="Exp20Q3">Helper!$B$47</definedName>
    <definedName name="Exp22FY">Helper!$B$34</definedName>
    <definedName name="Exp22FYUS">Helper!$C$34</definedName>
    <definedName name="Exp22H1">Helper!$B$32</definedName>
    <definedName name="Exp22Q1">Helper!$B$31</definedName>
    <definedName name="Exp22Q3">Helper!$B$33</definedName>
    <definedName name="Exp23FY">Helper!$B$27</definedName>
    <definedName name="Exp23FYUS">Helper!$C$27</definedName>
    <definedName name="Exp23H1">Helper!$B$25</definedName>
    <definedName name="Exp23Q1">Helper!$B$24</definedName>
    <definedName name="Exp23Q3">Helper!$B$26</definedName>
    <definedName name="Exp24FY">Helper!$B$20</definedName>
    <definedName name="Exp24FYUS">Helper!$C$20</definedName>
    <definedName name="Exp24H1">Helper!$B$18</definedName>
    <definedName name="Exp24Q1">Helper!$B$17</definedName>
    <definedName name="Exp24Q3">Helper!$B$19</definedName>
    <definedName name="Exp25FY">Helper!$B$13</definedName>
    <definedName name="Exp25FYUS">Helper!$C$13</definedName>
    <definedName name="Exp25H1">Helper!$B$11</definedName>
    <definedName name="Exp25Q1">Helper!$B$10</definedName>
    <definedName name="Exp25Q3">Helper!$B$12</definedName>
    <definedName name="Exp26FY">Helper!$B$6</definedName>
    <definedName name="Exp26FYUS">Helper!$C$6</definedName>
    <definedName name="Exp26H1">Helper!$B$4</definedName>
    <definedName name="Exp26Q1">Helper!$B$3</definedName>
    <definedName name="Exp26Q3">Helper!$B$5</definedName>
    <definedName name="ExpFY">Helper!$B$41</definedName>
    <definedName name="ExpFYUS">Helper!$C$41</definedName>
    <definedName name="ExpH1">Helper!$B$39</definedName>
    <definedName name="ExpQ1">Helper!$B$38</definedName>
    <definedName name="ExpQ3">Helper!$B$40</definedName>
    <definedName name="_xlnm.Print_Area" localSheetId="13">EDSP_2015!$B$195:$N$225</definedName>
    <definedName name="_xlnm.Print_Area" localSheetId="12">EDSP_2016!$B$219:$P$250</definedName>
    <definedName name="Start20EU">Helper!$B$44</definedName>
    <definedName name="Start20US">Helper!$C$44</definedName>
    <definedName name="Start22EU">Helper!$B$30</definedName>
    <definedName name="Start22US">Helper!$C$30</definedName>
    <definedName name="Start23EU">Helper!$B$23</definedName>
    <definedName name="Start23US">Helper!$C$23</definedName>
    <definedName name="Start24EU">Helper!$B$16</definedName>
    <definedName name="Start24US">Helper!$C$16</definedName>
    <definedName name="Start25EU">Helper!$B$9</definedName>
    <definedName name="Start25US">Helper!$C$9</definedName>
    <definedName name="Start26EU">Helper!$B$2</definedName>
    <definedName name="Start26US">Helper!$C$2</definedName>
    <definedName name="StartEU">Helper!$B$37</definedName>
    <definedName name="StartUS">Helper!$C$37</definedName>
    <definedName name="Z_2775CCD0_3A78_4586_818F_FCAACE537518_.wvu.Cols" localSheetId="12" hidden="1">EDSP_2016!$R:$XFD</definedName>
    <definedName name="Z_2775CCD0_3A78_4586_818F_FCAACE537518_.wvu.PrintArea" localSheetId="12" hidden="1">EDSP_2016!$B$219:$P$250</definedName>
    <definedName name="Z_2775CCD0_3A78_4586_818F_FCAACE537518_.wvu.Rows" localSheetId="12" hidden="1">EDSP_2016!$261:$1048576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53" i="18" l="1"/>
  <c r="G69" i="18"/>
  <c r="G68" i="17"/>
  <c r="G224" i="18"/>
  <c r="G102" i="17"/>
  <c r="G84" i="18" l="1"/>
  <c r="T257" i="17" l="1"/>
  <c r="I278" i="17"/>
  <c r="G278" i="17"/>
  <c r="M224" i="17"/>
  <c r="M68" i="17"/>
  <c r="I39" i="17"/>
  <c r="G146" i="17"/>
  <c r="I146" i="17"/>
  <c r="G273" i="17"/>
  <c r="I94" i="17"/>
  <c r="I91" i="17"/>
  <c r="T288" i="18"/>
  <c r="T290" i="18"/>
  <c r="T291" i="18"/>
  <c r="T292" i="18"/>
  <c r="T293" i="18"/>
  <c r="T294" i="18"/>
  <c r="T295" i="18"/>
  <c r="T296" i="18"/>
  <c r="T297" i="18"/>
  <c r="T298" i="18"/>
  <c r="T299" i="18"/>
  <c r="T300" i="18"/>
  <c r="T301" i="18"/>
  <c r="T302" i="18"/>
  <c r="T303" i="18"/>
  <c r="T304" i="18"/>
  <c r="T305" i="18"/>
  <c r="T306" i="18"/>
  <c r="T307" i="18"/>
  <c r="T308" i="18"/>
  <c r="T309" i="18"/>
  <c r="T310" i="18"/>
  <c r="T311" i="18"/>
  <c r="T312" i="18"/>
  <c r="T313" i="18"/>
  <c r="T314" i="18"/>
  <c r="T315" i="18"/>
  <c r="T316" i="18"/>
  <c r="T317" i="18"/>
  <c r="T318" i="18"/>
  <c r="T319" i="18"/>
  <c r="T320" i="18"/>
  <c r="T321" i="18"/>
  <c r="T322" i="18"/>
  <c r="T323" i="18"/>
  <c r="T324" i="18"/>
  <c r="T325" i="18"/>
  <c r="T326" i="18"/>
  <c r="T327" i="18"/>
  <c r="T328" i="18"/>
  <c r="T329" i="18"/>
  <c r="T330" i="18"/>
  <c r="T331" i="18"/>
  <c r="T332" i="18"/>
  <c r="T333" i="18"/>
  <c r="T334" i="18"/>
  <c r="T335" i="18"/>
  <c r="T336" i="18"/>
  <c r="T337" i="18"/>
  <c r="T338" i="18"/>
  <c r="T339" i="18"/>
  <c r="T340" i="18"/>
  <c r="T341" i="18"/>
  <c r="T342" i="18"/>
  <c r="T343" i="18"/>
  <c r="T344" i="18"/>
  <c r="T289" i="18"/>
  <c r="Q15" i="18"/>
  <c r="R15" i="18"/>
  <c r="S15" i="18"/>
  <c r="Q16" i="18"/>
  <c r="R16" i="18"/>
  <c r="S16" i="18"/>
  <c r="Q17" i="18"/>
  <c r="R17" i="18"/>
  <c r="S17" i="18"/>
  <c r="Q18" i="18"/>
  <c r="R18" i="18"/>
  <c r="S18" i="18"/>
  <c r="Q19" i="18"/>
  <c r="R19" i="18"/>
  <c r="S19" i="18"/>
  <c r="Q20" i="18"/>
  <c r="R20" i="18"/>
  <c r="S20" i="18"/>
  <c r="Q21" i="18"/>
  <c r="R21" i="18"/>
  <c r="S21" i="18"/>
  <c r="Q22" i="18"/>
  <c r="R22" i="18"/>
  <c r="S22" i="18"/>
  <c r="Q23" i="18"/>
  <c r="R23" i="18"/>
  <c r="S23" i="18"/>
  <c r="Q24" i="18"/>
  <c r="R24" i="18"/>
  <c r="S24" i="18"/>
  <c r="Q25" i="18"/>
  <c r="R25" i="18"/>
  <c r="S25" i="18"/>
  <c r="Q26" i="18"/>
  <c r="R26" i="18"/>
  <c r="S26" i="18"/>
  <c r="Q27" i="18"/>
  <c r="R27" i="18"/>
  <c r="S27" i="18"/>
  <c r="Q28" i="18"/>
  <c r="R28" i="18"/>
  <c r="S28" i="18"/>
  <c r="Q29" i="18"/>
  <c r="R29" i="18"/>
  <c r="S29" i="18"/>
  <c r="Q30" i="18"/>
  <c r="R30" i="18"/>
  <c r="S30" i="18"/>
  <c r="Q31" i="18"/>
  <c r="R31" i="18"/>
  <c r="S31" i="18"/>
  <c r="Q32" i="18"/>
  <c r="R32" i="18"/>
  <c r="S32" i="18"/>
  <c r="Q33" i="18"/>
  <c r="R33" i="18"/>
  <c r="S33" i="18"/>
  <c r="Q34" i="18"/>
  <c r="R34" i="18"/>
  <c r="S34" i="18"/>
  <c r="Q35" i="18"/>
  <c r="R35" i="18"/>
  <c r="S35" i="18"/>
  <c r="Q36" i="18"/>
  <c r="R36" i="18"/>
  <c r="S36" i="18"/>
  <c r="Q37" i="18"/>
  <c r="R37" i="18"/>
  <c r="S37" i="18"/>
  <c r="Q38" i="18"/>
  <c r="R38" i="18"/>
  <c r="S38" i="18"/>
  <c r="Q39" i="18"/>
  <c r="R39" i="18"/>
  <c r="S39" i="18"/>
  <c r="Q40" i="18"/>
  <c r="R40" i="18"/>
  <c r="S40" i="18"/>
  <c r="Q41" i="18"/>
  <c r="R41" i="18"/>
  <c r="S41" i="18"/>
  <c r="Q42" i="18"/>
  <c r="R42" i="18"/>
  <c r="S42" i="18"/>
  <c r="Q43" i="18"/>
  <c r="R43" i="18"/>
  <c r="S43" i="18"/>
  <c r="Q44" i="18"/>
  <c r="R44" i="18"/>
  <c r="S44" i="18"/>
  <c r="Q45" i="18"/>
  <c r="R45" i="18"/>
  <c r="S45" i="18"/>
  <c r="Q46" i="18"/>
  <c r="R46" i="18"/>
  <c r="S46" i="18"/>
  <c r="Q47" i="18"/>
  <c r="R47" i="18"/>
  <c r="S47" i="18"/>
  <c r="Q48" i="18"/>
  <c r="R48" i="18"/>
  <c r="S48" i="18"/>
  <c r="Q49" i="18"/>
  <c r="R49" i="18"/>
  <c r="S49" i="18"/>
  <c r="Q50" i="18"/>
  <c r="R50" i="18"/>
  <c r="S50" i="18"/>
  <c r="Q51" i="18"/>
  <c r="R51" i="18"/>
  <c r="S51" i="18"/>
  <c r="Q52" i="18"/>
  <c r="R52" i="18"/>
  <c r="S52" i="18"/>
  <c r="Q53" i="18"/>
  <c r="R53" i="18"/>
  <c r="S53" i="18"/>
  <c r="Q54" i="18"/>
  <c r="R54" i="18"/>
  <c r="S54" i="18"/>
  <c r="Q55" i="18"/>
  <c r="R55" i="18"/>
  <c r="S55" i="18"/>
  <c r="Q56" i="18"/>
  <c r="R56" i="18"/>
  <c r="S56" i="18"/>
  <c r="Q57" i="18"/>
  <c r="R57" i="18"/>
  <c r="S57" i="18"/>
  <c r="Q58" i="18"/>
  <c r="R58" i="18"/>
  <c r="S58" i="18"/>
  <c r="Q59" i="18"/>
  <c r="R59" i="18"/>
  <c r="S59" i="18"/>
  <c r="Q60" i="18"/>
  <c r="R60" i="18"/>
  <c r="S60" i="18"/>
  <c r="Q61" i="18"/>
  <c r="R61" i="18"/>
  <c r="S61" i="18"/>
  <c r="Q62" i="18"/>
  <c r="R62" i="18"/>
  <c r="S62" i="18"/>
  <c r="Q63" i="18"/>
  <c r="R63" i="18"/>
  <c r="S63" i="18"/>
  <c r="Q64" i="18"/>
  <c r="R64" i="18"/>
  <c r="S64" i="18"/>
  <c r="Q65" i="18"/>
  <c r="R65" i="18"/>
  <c r="S65" i="18"/>
  <c r="Q66" i="18"/>
  <c r="R66" i="18"/>
  <c r="S66" i="18"/>
  <c r="Q67" i="18"/>
  <c r="R67" i="18"/>
  <c r="S67" i="18"/>
  <c r="Q68" i="18"/>
  <c r="R68" i="18"/>
  <c r="S68" i="18"/>
  <c r="Q69" i="18"/>
  <c r="R69" i="18"/>
  <c r="S69" i="18"/>
  <c r="Q70" i="18"/>
  <c r="R70" i="18"/>
  <c r="S70" i="18"/>
  <c r="Q71" i="18"/>
  <c r="R71" i="18"/>
  <c r="S71" i="18"/>
  <c r="Q72" i="18"/>
  <c r="R72" i="18"/>
  <c r="S72" i="18"/>
  <c r="Q73" i="18"/>
  <c r="R73" i="18"/>
  <c r="S73" i="18"/>
  <c r="Q74" i="18"/>
  <c r="R74" i="18"/>
  <c r="S74" i="18"/>
  <c r="Q75" i="18"/>
  <c r="R75" i="18"/>
  <c r="S75" i="18"/>
  <c r="Q76" i="18"/>
  <c r="R76" i="18"/>
  <c r="S76" i="18"/>
  <c r="Q77" i="18"/>
  <c r="R77" i="18"/>
  <c r="S77" i="18"/>
  <c r="Q78" i="18"/>
  <c r="R78" i="18"/>
  <c r="S78" i="18"/>
  <c r="Q79" i="18"/>
  <c r="R79" i="18"/>
  <c r="S79" i="18"/>
  <c r="Q80" i="18"/>
  <c r="R80" i="18"/>
  <c r="S80" i="18"/>
  <c r="Q81" i="18"/>
  <c r="R81" i="18"/>
  <c r="S81" i="18"/>
  <c r="Q82" i="18"/>
  <c r="R82" i="18"/>
  <c r="S82" i="18"/>
  <c r="Q83" i="18"/>
  <c r="R83" i="18"/>
  <c r="S83" i="18"/>
  <c r="Q84" i="18"/>
  <c r="R84" i="18"/>
  <c r="S84" i="18"/>
  <c r="Q85" i="18"/>
  <c r="R85" i="18"/>
  <c r="S85" i="18"/>
  <c r="Q86" i="18"/>
  <c r="R86" i="18"/>
  <c r="S86" i="18"/>
  <c r="Q87" i="18"/>
  <c r="R87" i="18"/>
  <c r="S87" i="18"/>
  <c r="Q88" i="18"/>
  <c r="R88" i="18"/>
  <c r="S88" i="18"/>
  <c r="Q89" i="18"/>
  <c r="R89" i="18"/>
  <c r="S89" i="18"/>
  <c r="Q90" i="18"/>
  <c r="R90" i="18"/>
  <c r="S90" i="18"/>
  <c r="Q91" i="18"/>
  <c r="R91" i="18"/>
  <c r="S91" i="18"/>
  <c r="Q92" i="18"/>
  <c r="R92" i="18"/>
  <c r="S92" i="18"/>
  <c r="Q93" i="18"/>
  <c r="R93" i="18"/>
  <c r="S93" i="18"/>
  <c r="Q94" i="18"/>
  <c r="R94" i="18"/>
  <c r="S94" i="18"/>
  <c r="Q95" i="18"/>
  <c r="R95" i="18"/>
  <c r="S95" i="18"/>
  <c r="Q96" i="18"/>
  <c r="R96" i="18"/>
  <c r="S96" i="18"/>
  <c r="Q97" i="18"/>
  <c r="R97" i="18"/>
  <c r="S97" i="18"/>
  <c r="Q98" i="18"/>
  <c r="R98" i="18"/>
  <c r="S98" i="18"/>
  <c r="Q99" i="18"/>
  <c r="R99" i="18"/>
  <c r="S99" i="18"/>
  <c r="Q100" i="18"/>
  <c r="R100" i="18"/>
  <c r="S100" i="18"/>
  <c r="Q101" i="18"/>
  <c r="R101" i="18"/>
  <c r="S101" i="18"/>
  <c r="Q102" i="18"/>
  <c r="R102" i="18"/>
  <c r="S102" i="18"/>
  <c r="Q103" i="18"/>
  <c r="R103" i="18"/>
  <c r="S103" i="18"/>
  <c r="Q104" i="18"/>
  <c r="R104" i="18"/>
  <c r="S104" i="18"/>
  <c r="Q105" i="18"/>
  <c r="R105" i="18"/>
  <c r="S105" i="18"/>
  <c r="Q106" i="18"/>
  <c r="R106" i="18"/>
  <c r="S106" i="18"/>
  <c r="Q107" i="18"/>
  <c r="R107" i="18"/>
  <c r="S107" i="18"/>
  <c r="Q108" i="18"/>
  <c r="R108" i="18"/>
  <c r="S108" i="18"/>
  <c r="Q109" i="18"/>
  <c r="R109" i="18"/>
  <c r="S109" i="18"/>
  <c r="Q110" i="18"/>
  <c r="R110" i="18"/>
  <c r="S110" i="18"/>
  <c r="Q111" i="18"/>
  <c r="R111" i="18"/>
  <c r="S111" i="18"/>
  <c r="Q112" i="18"/>
  <c r="R112" i="18"/>
  <c r="S112" i="18"/>
  <c r="Q113" i="18"/>
  <c r="R113" i="18"/>
  <c r="S113" i="18"/>
  <c r="Q114" i="18"/>
  <c r="R114" i="18"/>
  <c r="S114" i="18"/>
  <c r="Q115" i="18"/>
  <c r="R115" i="18"/>
  <c r="S115" i="18"/>
  <c r="Q116" i="18"/>
  <c r="R116" i="18"/>
  <c r="S116" i="18"/>
  <c r="Q117" i="18"/>
  <c r="R117" i="18"/>
  <c r="S117" i="18"/>
  <c r="Q118" i="18"/>
  <c r="R118" i="18"/>
  <c r="S118" i="18"/>
  <c r="Q119" i="18"/>
  <c r="R119" i="18"/>
  <c r="S119" i="18"/>
  <c r="Q120" i="18"/>
  <c r="R120" i="18"/>
  <c r="S120" i="18"/>
  <c r="Q121" i="18"/>
  <c r="R121" i="18"/>
  <c r="S121" i="18"/>
  <c r="Q122" i="18"/>
  <c r="R122" i="18"/>
  <c r="S122" i="18"/>
  <c r="Q123" i="18"/>
  <c r="R123" i="18"/>
  <c r="S123" i="18"/>
  <c r="Q124" i="18"/>
  <c r="R124" i="18"/>
  <c r="S124" i="18"/>
  <c r="Q125" i="18"/>
  <c r="R125" i="18"/>
  <c r="S125" i="18"/>
  <c r="Q126" i="18"/>
  <c r="R126" i="18"/>
  <c r="S126" i="18"/>
  <c r="Q127" i="18"/>
  <c r="R127" i="18"/>
  <c r="S127" i="18"/>
  <c r="Q128" i="18"/>
  <c r="R128" i="18"/>
  <c r="S128" i="18"/>
  <c r="Q129" i="18"/>
  <c r="R129" i="18"/>
  <c r="S129" i="18"/>
  <c r="Q130" i="18"/>
  <c r="R130" i="18"/>
  <c r="S130" i="18"/>
  <c r="Q131" i="18"/>
  <c r="R131" i="18"/>
  <c r="S131" i="18"/>
  <c r="Q132" i="18"/>
  <c r="R132" i="18"/>
  <c r="S132" i="18"/>
  <c r="Q133" i="18"/>
  <c r="R133" i="18"/>
  <c r="S133" i="18"/>
  <c r="Q134" i="18"/>
  <c r="R134" i="18"/>
  <c r="S134" i="18"/>
  <c r="Q135" i="18"/>
  <c r="R135" i="18"/>
  <c r="S135" i="18"/>
  <c r="Q136" i="18"/>
  <c r="R136" i="18"/>
  <c r="S136" i="18"/>
  <c r="Q137" i="18"/>
  <c r="R137" i="18"/>
  <c r="S137" i="18"/>
  <c r="Q138" i="18"/>
  <c r="R138" i="18"/>
  <c r="S138" i="18"/>
  <c r="Q139" i="18"/>
  <c r="R139" i="18"/>
  <c r="S139" i="18"/>
  <c r="Q140" i="18"/>
  <c r="R140" i="18"/>
  <c r="S140" i="18"/>
  <c r="Q141" i="18"/>
  <c r="R141" i="18"/>
  <c r="S141" i="18"/>
  <c r="Q142" i="18"/>
  <c r="R142" i="18"/>
  <c r="S142" i="18"/>
  <c r="Q143" i="18"/>
  <c r="R143" i="18"/>
  <c r="S143" i="18"/>
  <c r="Q144" i="18"/>
  <c r="R144" i="18"/>
  <c r="S144" i="18"/>
  <c r="Q145" i="18"/>
  <c r="R145" i="18"/>
  <c r="S145" i="18"/>
  <c r="Q146" i="18"/>
  <c r="R146" i="18"/>
  <c r="S146" i="18"/>
  <c r="Q147" i="18"/>
  <c r="R147" i="18"/>
  <c r="S147" i="18"/>
  <c r="Q148" i="18"/>
  <c r="R148" i="18"/>
  <c r="S148" i="18"/>
  <c r="Q149" i="18"/>
  <c r="R149" i="18"/>
  <c r="S149" i="18"/>
  <c r="Q150" i="18"/>
  <c r="R150" i="18"/>
  <c r="S150" i="18"/>
  <c r="Q151" i="18"/>
  <c r="R151" i="18"/>
  <c r="S151" i="18"/>
  <c r="Q152" i="18"/>
  <c r="R152" i="18"/>
  <c r="S152" i="18"/>
  <c r="Q153" i="18"/>
  <c r="R153" i="18"/>
  <c r="S153" i="18"/>
  <c r="Q154" i="18"/>
  <c r="R154" i="18"/>
  <c r="S154" i="18"/>
  <c r="Q155" i="18"/>
  <c r="R155" i="18"/>
  <c r="S155" i="18"/>
  <c r="Q156" i="18"/>
  <c r="R156" i="18"/>
  <c r="S156" i="18"/>
  <c r="Q157" i="18"/>
  <c r="R157" i="18"/>
  <c r="S157" i="18"/>
  <c r="Q158" i="18"/>
  <c r="R158" i="18"/>
  <c r="S158" i="18"/>
  <c r="Q159" i="18"/>
  <c r="R159" i="18"/>
  <c r="S159" i="18"/>
  <c r="Q160" i="18"/>
  <c r="R160" i="18"/>
  <c r="S160" i="18"/>
  <c r="Q161" i="18"/>
  <c r="R161" i="18"/>
  <c r="S161" i="18"/>
  <c r="Q162" i="18"/>
  <c r="R162" i="18"/>
  <c r="S162" i="18"/>
  <c r="Q163" i="18"/>
  <c r="R163" i="18"/>
  <c r="S163" i="18"/>
  <c r="Q164" i="18"/>
  <c r="R164" i="18"/>
  <c r="S164" i="18"/>
  <c r="Q165" i="18"/>
  <c r="R165" i="18"/>
  <c r="S165" i="18"/>
  <c r="Q166" i="18"/>
  <c r="R166" i="18"/>
  <c r="S166" i="18"/>
  <c r="Q167" i="18"/>
  <c r="R167" i="18"/>
  <c r="S167" i="18"/>
  <c r="Q168" i="18"/>
  <c r="R168" i="18"/>
  <c r="S168" i="18"/>
  <c r="Q169" i="18"/>
  <c r="R169" i="18"/>
  <c r="S169" i="18"/>
  <c r="Q170" i="18"/>
  <c r="R170" i="18"/>
  <c r="S170" i="18"/>
  <c r="Q171" i="18"/>
  <c r="R171" i="18"/>
  <c r="S171" i="18"/>
  <c r="Q172" i="18"/>
  <c r="R172" i="18"/>
  <c r="S172" i="18"/>
  <c r="Q173" i="18"/>
  <c r="R173" i="18"/>
  <c r="S173" i="18"/>
  <c r="Q174" i="18"/>
  <c r="R174" i="18"/>
  <c r="S174" i="18"/>
  <c r="Q175" i="18"/>
  <c r="R175" i="18"/>
  <c r="S175" i="18"/>
  <c r="Q176" i="18"/>
  <c r="R176" i="18"/>
  <c r="S176" i="18"/>
  <c r="Q177" i="18"/>
  <c r="R177" i="18"/>
  <c r="S177" i="18"/>
  <c r="Q178" i="18"/>
  <c r="R178" i="18"/>
  <c r="S178" i="18"/>
  <c r="Q179" i="18"/>
  <c r="R179" i="18"/>
  <c r="S179" i="18"/>
  <c r="Q180" i="18"/>
  <c r="R180" i="18"/>
  <c r="S180" i="18"/>
  <c r="Q181" i="18"/>
  <c r="R181" i="18"/>
  <c r="S181" i="18"/>
  <c r="Q182" i="18"/>
  <c r="R182" i="18"/>
  <c r="S182" i="18"/>
  <c r="Q183" i="18"/>
  <c r="R183" i="18"/>
  <c r="S183" i="18"/>
  <c r="Q184" i="18"/>
  <c r="R184" i="18"/>
  <c r="S184" i="18"/>
  <c r="Q185" i="18"/>
  <c r="R185" i="18"/>
  <c r="S185" i="18"/>
  <c r="Q186" i="18"/>
  <c r="R186" i="18"/>
  <c r="S186" i="18"/>
  <c r="Q187" i="18"/>
  <c r="R187" i="18"/>
  <c r="S187" i="18"/>
  <c r="Q188" i="18"/>
  <c r="R188" i="18"/>
  <c r="S188" i="18"/>
  <c r="Q189" i="18"/>
  <c r="R189" i="18"/>
  <c r="S189" i="18"/>
  <c r="Q190" i="18"/>
  <c r="R190" i="18"/>
  <c r="S190" i="18"/>
  <c r="Q191" i="18"/>
  <c r="R191" i="18"/>
  <c r="S191" i="18"/>
  <c r="Q192" i="18"/>
  <c r="R192" i="18"/>
  <c r="S192" i="18"/>
  <c r="Q193" i="18"/>
  <c r="R193" i="18"/>
  <c r="S193" i="18"/>
  <c r="Q194" i="18"/>
  <c r="R194" i="18"/>
  <c r="S194" i="18"/>
  <c r="Q195" i="18"/>
  <c r="R195" i="18"/>
  <c r="S195" i="18"/>
  <c r="Q196" i="18"/>
  <c r="R196" i="18"/>
  <c r="S196" i="18"/>
  <c r="Q197" i="18"/>
  <c r="R197" i="18"/>
  <c r="S197" i="18"/>
  <c r="Q198" i="18"/>
  <c r="R198" i="18"/>
  <c r="S198" i="18"/>
  <c r="Q199" i="18"/>
  <c r="R199" i="18"/>
  <c r="S199" i="18"/>
  <c r="Q200" i="18"/>
  <c r="R200" i="18"/>
  <c r="S200" i="18"/>
  <c r="Q201" i="18"/>
  <c r="R201" i="18"/>
  <c r="S201" i="18"/>
  <c r="Q202" i="18"/>
  <c r="R202" i="18"/>
  <c r="S202" i="18"/>
  <c r="Q203" i="18"/>
  <c r="R203" i="18"/>
  <c r="S203" i="18"/>
  <c r="Q204" i="18"/>
  <c r="R204" i="18"/>
  <c r="S204" i="18"/>
  <c r="Q205" i="18"/>
  <c r="R205" i="18"/>
  <c r="S205" i="18"/>
  <c r="Q206" i="18"/>
  <c r="R206" i="18"/>
  <c r="S206" i="18"/>
  <c r="Q207" i="18"/>
  <c r="R207" i="18"/>
  <c r="S207" i="18"/>
  <c r="Q208" i="18"/>
  <c r="R208" i="18"/>
  <c r="S208" i="18"/>
  <c r="Q209" i="18"/>
  <c r="R209" i="18"/>
  <c r="S209" i="18"/>
  <c r="Q210" i="18"/>
  <c r="R210" i="18"/>
  <c r="S210" i="18"/>
  <c r="Q211" i="18"/>
  <c r="R211" i="18"/>
  <c r="S211" i="18"/>
  <c r="Q212" i="18"/>
  <c r="R212" i="18"/>
  <c r="S212" i="18"/>
  <c r="Q213" i="18"/>
  <c r="R213" i="18"/>
  <c r="S213" i="18"/>
  <c r="Q214" i="18"/>
  <c r="R214" i="18"/>
  <c r="S214" i="18"/>
  <c r="Q215" i="18"/>
  <c r="R215" i="18"/>
  <c r="S215" i="18"/>
  <c r="Q216" i="18"/>
  <c r="R216" i="18"/>
  <c r="S216" i="18"/>
  <c r="Q217" i="18"/>
  <c r="R217" i="18"/>
  <c r="S217" i="18"/>
  <c r="Q218" i="18"/>
  <c r="R218" i="18"/>
  <c r="S218" i="18"/>
  <c r="Q219" i="18"/>
  <c r="R219" i="18"/>
  <c r="S219" i="18"/>
  <c r="Q220" i="18"/>
  <c r="R220" i="18"/>
  <c r="S220" i="18"/>
  <c r="Q221" i="18"/>
  <c r="R221" i="18"/>
  <c r="S221" i="18"/>
  <c r="Q222" i="18"/>
  <c r="R222" i="18"/>
  <c r="S222" i="18"/>
  <c r="Q223" i="18"/>
  <c r="R223" i="18"/>
  <c r="S223" i="18"/>
  <c r="Q224" i="18"/>
  <c r="R224" i="18"/>
  <c r="S224" i="18"/>
  <c r="Q225" i="18"/>
  <c r="R225" i="18"/>
  <c r="S225" i="18"/>
  <c r="Q226" i="18"/>
  <c r="R226" i="18"/>
  <c r="S226" i="18"/>
  <c r="Q227" i="18"/>
  <c r="R227" i="18"/>
  <c r="S227" i="18"/>
  <c r="Q228" i="18"/>
  <c r="R228" i="18"/>
  <c r="S228" i="18"/>
  <c r="Q229" i="18"/>
  <c r="R229" i="18"/>
  <c r="S229" i="18"/>
  <c r="Q230" i="18"/>
  <c r="R230" i="18"/>
  <c r="S230" i="18"/>
  <c r="Q231" i="18"/>
  <c r="R231" i="18"/>
  <c r="S231" i="18"/>
  <c r="Q232" i="18"/>
  <c r="R232" i="18"/>
  <c r="S232" i="18"/>
  <c r="Q233" i="18"/>
  <c r="R233" i="18"/>
  <c r="S233" i="18"/>
  <c r="Q234" i="18"/>
  <c r="R234" i="18"/>
  <c r="S234" i="18"/>
  <c r="Q235" i="18"/>
  <c r="R235" i="18"/>
  <c r="S235" i="18"/>
  <c r="Q236" i="18"/>
  <c r="R236" i="18"/>
  <c r="S236" i="18"/>
  <c r="Q237" i="18"/>
  <c r="R237" i="18"/>
  <c r="S237" i="18"/>
  <c r="Q238" i="18"/>
  <c r="R238" i="18"/>
  <c r="S238" i="18"/>
  <c r="Q239" i="18"/>
  <c r="R239" i="18"/>
  <c r="S239" i="18"/>
  <c r="Q240" i="18"/>
  <c r="R240" i="18"/>
  <c r="S240" i="18"/>
  <c r="Q241" i="18"/>
  <c r="R241" i="18"/>
  <c r="S241" i="18"/>
  <c r="Q242" i="18"/>
  <c r="R242" i="18"/>
  <c r="S242" i="18"/>
  <c r="Q243" i="18"/>
  <c r="R243" i="18"/>
  <c r="S243" i="18"/>
  <c r="Q244" i="18"/>
  <c r="R244" i="18"/>
  <c r="S244" i="18"/>
  <c r="Q245" i="18"/>
  <c r="R245" i="18"/>
  <c r="S245" i="18"/>
  <c r="Q246" i="18"/>
  <c r="R246" i="18"/>
  <c r="S246" i="18"/>
  <c r="Q247" i="18"/>
  <c r="R247" i="18"/>
  <c r="S247" i="18"/>
  <c r="Q248" i="18"/>
  <c r="R248" i="18"/>
  <c r="S248" i="18"/>
  <c r="Q249" i="18"/>
  <c r="R249" i="18"/>
  <c r="S249" i="18"/>
  <c r="Q250" i="18"/>
  <c r="R250" i="18"/>
  <c r="S250" i="18"/>
  <c r="Q251" i="18"/>
  <c r="R251" i="18"/>
  <c r="S251" i="18"/>
  <c r="Q252" i="18"/>
  <c r="R252" i="18"/>
  <c r="S252" i="18"/>
  <c r="Q253" i="18"/>
  <c r="R253" i="18"/>
  <c r="S253" i="18"/>
  <c r="Q254" i="18"/>
  <c r="R254" i="18"/>
  <c r="S254" i="18"/>
  <c r="Q255" i="18"/>
  <c r="R255" i="18"/>
  <c r="S255" i="18"/>
  <c r="Q256" i="18"/>
  <c r="R256" i="18"/>
  <c r="S256" i="18"/>
  <c r="Q257" i="18"/>
  <c r="R257" i="18"/>
  <c r="S257" i="18"/>
  <c r="Q258" i="18"/>
  <c r="R258" i="18"/>
  <c r="S258" i="18"/>
  <c r="Q259" i="18"/>
  <c r="R259" i="18"/>
  <c r="S259" i="18"/>
  <c r="Q260" i="18"/>
  <c r="R260" i="18"/>
  <c r="S260" i="18"/>
  <c r="Q261" i="18"/>
  <c r="R261" i="18"/>
  <c r="S261" i="18"/>
  <c r="Q262" i="18"/>
  <c r="R262" i="18"/>
  <c r="S262" i="18"/>
  <c r="Q263" i="18"/>
  <c r="R263" i="18"/>
  <c r="S263" i="18"/>
  <c r="Q264" i="18"/>
  <c r="R264" i="18"/>
  <c r="S264" i="18"/>
  <c r="Q265" i="18"/>
  <c r="R265" i="18"/>
  <c r="S265" i="18"/>
  <c r="Q266" i="18"/>
  <c r="R266" i="18"/>
  <c r="S266" i="18"/>
  <c r="Q267" i="18"/>
  <c r="R267" i="18"/>
  <c r="S267" i="18"/>
  <c r="Q268" i="18"/>
  <c r="R268" i="18"/>
  <c r="S268" i="18"/>
  <c r="Q269" i="18"/>
  <c r="R269" i="18"/>
  <c r="S269" i="18"/>
  <c r="Q270" i="18"/>
  <c r="R270" i="18"/>
  <c r="S270" i="18"/>
  <c r="Q271" i="18"/>
  <c r="R271" i="18"/>
  <c r="S271" i="18"/>
  <c r="Q272" i="18"/>
  <c r="R272" i="18"/>
  <c r="S272" i="18"/>
  <c r="Q273" i="18"/>
  <c r="R273" i="18"/>
  <c r="S273" i="18"/>
  <c r="Q274" i="18"/>
  <c r="R274" i="18"/>
  <c r="S274" i="18"/>
  <c r="Q275" i="18"/>
  <c r="R275" i="18"/>
  <c r="S275" i="18"/>
  <c r="Q276" i="18"/>
  <c r="R276" i="18"/>
  <c r="S276" i="18"/>
  <c r="Q277" i="18"/>
  <c r="R277" i="18"/>
  <c r="S277" i="18"/>
  <c r="Q278" i="18"/>
  <c r="R278" i="18"/>
  <c r="S278" i="18"/>
  <c r="Q279" i="18"/>
  <c r="R279" i="18"/>
  <c r="S279" i="18"/>
  <c r="Q280" i="18"/>
  <c r="R280" i="18"/>
  <c r="S280" i="18"/>
  <c r="Q281" i="18"/>
  <c r="R281" i="18"/>
  <c r="S281" i="18"/>
  <c r="Q282" i="18"/>
  <c r="R282" i="18"/>
  <c r="S282" i="18"/>
  <c r="Q283" i="18"/>
  <c r="R283" i="18"/>
  <c r="S283" i="18"/>
  <c r="Q284" i="18"/>
  <c r="R284" i="18"/>
  <c r="S284" i="18"/>
  <c r="Q285" i="18"/>
  <c r="R285" i="18"/>
  <c r="S285" i="18"/>
  <c r="Q286" i="18"/>
  <c r="R286" i="18"/>
  <c r="S286" i="18"/>
  <c r="Q287" i="18"/>
  <c r="R287" i="18"/>
  <c r="S287" i="18"/>
  <c r="Q288" i="18"/>
  <c r="R288" i="18"/>
  <c r="S288" i="18"/>
  <c r="S14" i="18"/>
  <c r="R14" i="18"/>
  <c r="Q14" i="18"/>
  <c r="T287" i="18"/>
  <c r="T286" i="18"/>
  <c r="T285" i="18"/>
  <c r="T284" i="18"/>
  <c r="T283" i="18"/>
  <c r="T282" i="18"/>
  <c r="T281" i="18"/>
  <c r="T280" i="18"/>
  <c r="T279" i="18"/>
  <c r="T278" i="18"/>
  <c r="T277" i="18"/>
  <c r="T276" i="18"/>
  <c r="T275" i="18"/>
  <c r="T274" i="18"/>
  <c r="T273" i="18"/>
  <c r="T272" i="18"/>
  <c r="T271" i="18"/>
  <c r="T270" i="18"/>
  <c r="T269" i="18"/>
  <c r="T268" i="18"/>
  <c r="T267" i="18"/>
  <c r="T266" i="18"/>
  <c r="T265" i="18"/>
  <c r="T264" i="18"/>
  <c r="T263" i="18"/>
  <c r="T262" i="18"/>
  <c r="T261" i="18"/>
  <c r="T260" i="18"/>
  <c r="T259" i="18"/>
  <c r="T258" i="18"/>
  <c r="T257" i="18"/>
  <c r="T256" i="18"/>
  <c r="T255" i="18"/>
  <c r="T254" i="18"/>
  <c r="T253" i="18"/>
  <c r="T252" i="18"/>
  <c r="T251" i="18"/>
  <c r="T250" i="18"/>
  <c r="T249" i="18"/>
  <c r="T248" i="18"/>
  <c r="T247" i="18"/>
  <c r="T246" i="18"/>
  <c r="T245" i="18"/>
  <c r="T244" i="18"/>
  <c r="T243" i="18"/>
  <c r="T242" i="18"/>
  <c r="T241" i="18"/>
  <c r="T240" i="18"/>
  <c r="T239" i="18"/>
  <c r="T238" i="18"/>
  <c r="T237" i="18"/>
  <c r="T236" i="18"/>
  <c r="T235" i="18"/>
  <c r="T234" i="18"/>
  <c r="T233" i="18"/>
  <c r="T232" i="18"/>
  <c r="T231" i="18"/>
  <c r="T230" i="18"/>
  <c r="T229" i="18"/>
  <c r="T228" i="18"/>
  <c r="T227" i="18"/>
  <c r="T226" i="18"/>
  <c r="T225" i="18"/>
  <c r="T223" i="18"/>
  <c r="T222" i="18"/>
  <c r="T221" i="18"/>
  <c r="T220" i="18"/>
  <c r="T219" i="18"/>
  <c r="T218" i="18"/>
  <c r="T217" i="18"/>
  <c r="T216" i="18"/>
  <c r="T215" i="18"/>
  <c r="T214" i="18"/>
  <c r="T213" i="18"/>
  <c r="T212" i="18"/>
  <c r="T211" i="18"/>
  <c r="T210" i="18"/>
  <c r="T209" i="18"/>
  <c r="T208" i="18"/>
  <c r="T206" i="18"/>
  <c r="T205" i="18"/>
  <c r="T204" i="18"/>
  <c r="T203" i="18"/>
  <c r="T202" i="18"/>
  <c r="T201" i="18"/>
  <c r="T200" i="18"/>
  <c r="T199" i="18"/>
  <c r="T198" i="18"/>
  <c r="T197" i="18"/>
  <c r="T196" i="18"/>
  <c r="T195" i="18"/>
  <c r="T194" i="18"/>
  <c r="T193" i="18"/>
  <c r="T192" i="18"/>
  <c r="T191" i="18"/>
  <c r="T190" i="18"/>
  <c r="T189" i="18"/>
  <c r="T188" i="18"/>
  <c r="T187" i="18"/>
  <c r="T186" i="18"/>
  <c r="T185" i="18"/>
  <c r="T184" i="18"/>
  <c r="T183" i="18"/>
  <c r="T182" i="18"/>
  <c r="T181" i="18"/>
  <c r="T180" i="18"/>
  <c r="T179" i="18"/>
  <c r="T178" i="18"/>
  <c r="T177" i="18"/>
  <c r="T176" i="18"/>
  <c r="T175" i="18"/>
  <c r="T174" i="18"/>
  <c r="T173" i="18"/>
  <c r="T172" i="18"/>
  <c r="T171" i="18"/>
  <c r="T170" i="18"/>
  <c r="T169" i="18"/>
  <c r="T168" i="18"/>
  <c r="T167" i="18"/>
  <c r="T166" i="18"/>
  <c r="T165" i="18"/>
  <c r="T164" i="18"/>
  <c r="T163" i="18"/>
  <c r="T162" i="18"/>
  <c r="T161" i="18"/>
  <c r="T160" i="18"/>
  <c r="T159" i="18"/>
  <c r="T158" i="18"/>
  <c r="T157" i="18"/>
  <c r="T156" i="18"/>
  <c r="T155" i="18"/>
  <c r="T154" i="18"/>
  <c r="T153" i="18"/>
  <c r="T152" i="18"/>
  <c r="T151" i="18"/>
  <c r="T150" i="18"/>
  <c r="T149" i="18"/>
  <c r="T148" i="18"/>
  <c r="T147" i="18"/>
  <c r="T146" i="18"/>
  <c r="T145" i="18"/>
  <c r="T144" i="18"/>
  <c r="T143" i="18"/>
  <c r="T142" i="18"/>
  <c r="T141" i="18"/>
  <c r="T140" i="18"/>
  <c r="T139" i="18"/>
  <c r="T138" i="18"/>
  <c r="T137" i="18"/>
  <c r="T136" i="18"/>
  <c r="T135" i="18"/>
  <c r="T134" i="18"/>
  <c r="T133" i="18"/>
  <c r="T132" i="18"/>
  <c r="T131" i="18"/>
  <c r="T130" i="18"/>
  <c r="T129" i="18"/>
  <c r="T128" i="18"/>
  <c r="T127" i="18"/>
  <c r="T126" i="18"/>
  <c r="T125" i="18"/>
  <c r="T124" i="18"/>
  <c r="T123" i="18"/>
  <c r="T122" i="18"/>
  <c r="T121" i="18"/>
  <c r="T120" i="18"/>
  <c r="T119" i="18"/>
  <c r="T118" i="18"/>
  <c r="T117" i="18"/>
  <c r="T116" i="18"/>
  <c r="T115" i="18"/>
  <c r="T114" i="18"/>
  <c r="T113" i="18"/>
  <c r="T112" i="18"/>
  <c r="T111" i="18"/>
  <c r="T110" i="18"/>
  <c r="T109" i="18"/>
  <c r="T108" i="18"/>
  <c r="T107" i="18"/>
  <c r="T106" i="18"/>
  <c r="T105" i="18"/>
  <c r="T104" i="18"/>
  <c r="T103" i="18"/>
  <c r="T102" i="18"/>
  <c r="T101" i="18"/>
  <c r="T100" i="18"/>
  <c r="T99" i="18"/>
  <c r="T98" i="18"/>
  <c r="T97" i="18"/>
  <c r="T96" i="18"/>
  <c r="T94" i="18"/>
  <c r="T93" i="18"/>
  <c r="T92" i="18"/>
  <c r="T91" i="18"/>
  <c r="T90" i="18"/>
  <c r="T89" i="18"/>
  <c r="T88" i="18"/>
  <c r="T87" i="18"/>
  <c r="T86" i="18"/>
  <c r="T85" i="18"/>
  <c r="T84" i="18"/>
  <c r="T83" i="18"/>
  <c r="T82" i="18"/>
  <c r="T81" i="18"/>
  <c r="T80" i="18"/>
  <c r="T79" i="18"/>
  <c r="T78" i="18"/>
  <c r="T77" i="18"/>
  <c r="T76" i="18"/>
  <c r="T75" i="18"/>
  <c r="T74" i="18"/>
  <c r="T73" i="18"/>
  <c r="T72" i="18"/>
  <c r="T71" i="18"/>
  <c r="T70" i="18"/>
  <c r="T69" i="18"/>
  <c r="T68" i="18"/>
  <c r="T67" i="18"/>
  <c r="T66" i="18"/>
  <c r="T65" i="18"/>
  <c r="T64" i="18"/>
  <c r="T63" i="18"/>
  <c r="T62" i="18"/>
  <c r="T61" i="18"/>
  <c r="T60" i="18"/>
  <c r="T59" i="18"/>
  <c r="T58" i="18"/>
  <c r="T57" i="18"/>
  <c r="T56" i="18"/>
  <c r="T55" i="18"/>
  <c r="T54" i="18"/>
  <c r="T53" i="18"/>
  <c r="T52" i="18"/>
  <c r="T51" i="18"/>
  <c r="T50" i="18"/>
  <c r="T49" i="18"/>
  <c r="T48" i="18"/>
  <c r="T47" i="18"/>
  <c r="T46" i="18"/>
  <c r="T45" i="18"/>
  <c r="T44" i="18"/>
  <c r="T43" i="18"/>
  <c r="T42" i="18"/>
  <c r="T41" i="18"/>
  <c r="T40" i="18"/>
  <c r="T39" i="18"/>
  <c r="T38" i="18"/>
  <c r="T37" i="18"/>
  <c r="T36" i="18"/>
  <c r="T35" i="18"/>
  <c r="T34" i="18"/>
  <c r="T33" i="18"/>
  <c r="T32" i="18"/>
  <c r="T31" i="18"/>
  <c r="T30" i="18"/>
  <c r="T29" i="18"/>
  <c r="T28" i="18"/>
  <c r="T27" i="18"/>
  <c r="T26" i="18"/>
  <c r="T25" i="18"/>
  <c r="T24" i="18"/>
  <c r="T23" i="18"/>
  <c r="T22" i="18"/>
  <c r="T21" i="18"/>
  <c r="T20" i="18"/>
  <c r="T19" i="18"/>
  <c r="T18" i="18"/>
  <c r="T17" i="18"/>
  <c r="T16" i="18"/>
  <c r="T15" i="18"/>
  <c r="T14" i="18"/>
  <c r="K224" i="17"/>
  <c r="I207" i="17"/>
  <c r="K68" i="17"/>
  <c r="T95" i="18" l="1"/>
  <c r="T207" i="18"/>
  <c r="T224" i="18"/>
  <c r="I203" i="17"/>
  <c r="I83" i="17"/>
  <c r="G23" i="17"/>
  <c r="G186" i="17"/>
  <c r="G36" i="17"/>
  <c r="G76" i="17"/>
  <c r="I224" i="17" l="1"/>
  <c r="I68" i="17"/>
  <c r="G39" i="17"/>
  <c r="G142" i="17" l="1"/>
  <c r="I142" i="17"/>
  <c r="G188" i="17"/>
  <c r="G27" i="17" l="1"/>
  <c r="G260" i="17" l="1"/>
  <c r="G245" i="17"/>
  <c r="T69" i="17"/>
  <c r="S69" i="17"/>
  <c r="R69" i="17"/>
  <c r="Q69" i="17"/>
  <c r="T49" i="17"/>
  <c r="S49" i="17"/>
  <c r="R49" i="17"/>
  <c r="Q49" i="17"/>
  <c r="G280" i="17"/>
  <c r="G230" i="17"/>
  <c r="G124" i="17"/>
  <c r="T288" i="17" l="1"/>
  <c r="S288" i="17"/>
  <c r="R288" i="17"/>
  <c r="Q288" i="17"/>
  <c r="T287" i="17"/>
  <c r="S287" i="17"/>
  <c r="R287" i="17"/>
  <c r="Q287" i="17"/>
  <c r="T286" i="17"/>
  <c r="S286" i="17"/>
  <c r="R286" i="17"/>
  <c r="Q286" i="17"/>
  <c r="T285" i="17"/>
  <c r="S285" i="17"/>
  <c r="R285" i="17"/>
  <c r="Q285" i="17"/>
  <c r="T284" i="17"/>
  <c r="S284" i="17"/>
  <c r="R284" i="17"/>
  <c r="Q284" i="17"/>
  <c r="T283" i="17"/>
  <c r="S283" i="17"/>
  <c r="R283" i="17"/>
  <c r="Q283" i="17"/>
  <c r="T282" i="17"/>
  <c r="S282" i="17"/>
  <c r="R282" i="17"/>
  <c r="Q282" i="17"/>
  <c r="T281" i="17"/>
  <c r="S281" i="17"/>
  <c r="R281" i="17"/>
  <c r="Q281" i="17"/>
  <c r="T280" i="17"/>
  <c r="S280" i="17"/>
  <c r="R280" i="17"/>
  <c r="Q280" i="17"/>
  <c r="T279" i="17"/>
  <c r="S279" i="17"/>
  <c r="R279" i="17"/>
  <c r="Q279" i="17"/>
  <c r="T278" i="17"/>
  <c r="S278" i="17"/>
  <c r="R278" i="17"/>
  <c r="Q278" i="17"/>
  <c r="T277" i="17"/>
  <c r="S277" i="17"/>
  <c r="R277" i="17"/>
  <c r="Q277" i="17"/>
  <c r="T276" i="17"/>
  <c r="S276" i="17"/>
  <c r="R276" i="17"/>
  <c r="Q276" i="17"/>
  <c r="T275" i="17"/>
  <c r="S275" i="17"/>
  <c r="R275" i="17"/>
  <c r="Q275" i="17"/>
  <c r="T274" i="17"/>
  <c r="S274" i="17"/>
  <c r="R274" i="17"/>
  <c r="Q274" i="17"/>
  <c r="T272" i="17"/>
  <c r="S272" i="17"/>
  <c r="R272" i="17"/>
  <c r="Q272" i="17"/>
  <c r="T271" i="17"/>
  <c r="S271" i="17"/>
  <c r="R271" i="17"/>
  <c r="Q271" i="17"/>
  <c r="T270" i="17"/>
  <c r="S270" i="17"/>
  <c r="R270" i="17"/>
  <c r="Q270" i="17"/>
  <c r="T269" i="17"/>
  <c r="S269" i="17"/>
  <c r="R269" i="17"/>
  <c r="Q269" i="17"/>
  <c r="T268" i="17"/>
  <c r="S268" i="17"/>
  <c r="R268" i="17"/>
  <c r="Q268" i="17"/>
  <c r="T267" i="17"/>
  <c r="S267" i="17"/>
  <c r="R267" i="17"/>
  <c r="Q267" i="17"/>
  <c r="T266" i="17"/>
  <c r="S266" i="17"/>
  <c r="R266" i="17"/>
  <c r="Q266" i="17"/>
  <c r="T265" i="17"/>
  <c r="S265" i="17"/>
  <c r="R265" i="17"/>
  <c r="Q265" i="17"/>
  <c r="T264" i="17"/>
  <c r="S264" i="17"/>
  <c r="R264" i="17"/>
  <c r="Q264" i="17"/>
  <c r="T263" i="17"/>
  <c r="S263" i="17"/>
  <c r="R263" i="17"/>
  <c r="Q263" i="17"/>
  <c r="T262" i="17"/>
  <c r="S262" i="17"/>
  <c r="R262" i="17"/>
  <c r="Q262" i="17"/>
  <c r="T261" i="17"/>
  <c r="S261" i="17"/>
  <c r="R261" i="17"/>
  <c r="Q261" i="17"/>
  <c r="T260" i="17"/>
  <c r="S260" i="17"/>
  <c r="R260" i="17"/>
  <c r="Q260" i="17"/>
  <c r="T259" i="17"/>
  <c r="S259" i="17"/>
  <c r="R259" i="17"/>
  <c r="Q259" i="17"/>
  <c r="T258" i="17"/>
  <c r="S258" i="17"/>
  <c r="R258" i="17"/>
  <c r="Q258" i="17"/>
  <c r="T256" i="17"/>
  <c r="S256" i="17"/>
  <c r="R256" i="17"/>
  <c r="Q256" i="17"/>
  <c r="T255" i="17"/>
  <c r="S255" i="17"/>
  <c r="R255" i="17"/>
  <c r="Q255" i="17"/>
  <c r="T254" i="17"/>
  <c r="S254" i="17"/>
  <c r="R254" i="17"/>
  <c r="Q254" i="17"/>
  <c r="T253" i="17"/>
  <c r="S253" i="17"/>
  <c r="R253" i="17"/>
  <c r="Q253" i="17"/>
  <c r="T252" i="17"/>
  <c r="S252" i="17"/>
  <c r="R252" i="17"/>
  <c r="Q252" i="17"/>
  <c r="T251" i="17"/>
  <c r="S251" i="17"/>
  <c r="R251" i="17"/>
  <c r="Q251" i="17"/>
  <c r="T250" i="17"/>
  <c r="S250" i="17"/>
  <c r="R250" i="17"/>
  <c r="Q250" i="17"/>
  <c r="T249" i="17"/>
  <c r="S249" i="17"/>
  <c r="R249" i="17"/>
  <c r="Q249" i="17"/>
  <c r="T248" i="17"/>
  <c r="S248" i="17"/>
  <c r="R248" i="17"/>
  <c r="Q248" i="17"/>
  <c r="T247" i="17"/>
  <c r="S247" i="17"/>
  <c r="R247" i="17"/>
  <c r="Q247" i="17"/>
  <c r="T246" i="17"/>
  <c r="S246" i="17"/>
  <c r="R246" i="17"/>
  <c r="Q246" i="17"/>
  <c r="T245" i="17"/>
  <c r="S245" i="17"/>
  <c r="R245" i="17"/>
  <c r="Q245" i="17"/>
  <c r="T244" i="17"/>
  <c r="S244" i="17"/>
  <c r="R244" i="17"/>
  <c r="Q244" i="17"/>
  <c r="Q243" i="17"/>
  <c r="T242" i="17"/>
  <c r="S242" i="17"/>
  <c r="R242" i="17"/>
  <c r="Q242" i="17"/>
  <c r="T241" i="17"/>
  <c r="S241" i="17"/>
  <c r="R241" i="17"/>
  <c r="Q241" i="17"/>
  <c r="T240" i="17"/>
  <c r="S240" i="17"/>
  <c r="R240" i="17"/>
  <c r="Q240" i="17"/>
  <c r="T239" i="17"/>
  <c r="S239" i="17"/>
  <c r="R239" i="17"/>
  <c r="Q239" i="17"/>
  <c r="T238" i="17"/>
  <c r="S238" i="17"/>
  <c r="R238" i="17"/>
  <c r="Q238" i="17"/>
  <c r="T237" i="17"/>
  <c r="S237" i="17"/>
  <c r="R237" i="17"/>
  <c r="Q237" i="17"/>
  <c r="T236" i="17"/>
  <c r="S236" i="17"/>
  <c r="R236" i="17"/>
  <c r="Q236" i="17"/>
  <c r="T235" i="17"/>
  <c r="S235" i="17"/>
  <c r="R235" i="17"/>
  <c r="Q235" i="17"/>
  <c r="T234" i="17"/>
  <c r="S234" i="17"/>
  <c r="R234" i="17"/>
  <c r="Q234" i="17"/>
  <c r="T233" i="17"/>
  <c r="S233" i="17"/>
  <c r="R233" i="17"/>
  <c r="Q233" i="17"/>
  <c r="T232" i="17"/>
  <c r="S232" i="17"/>
  <c r="R232" i="17"/>
  <c r="Q232" i="17"/>
  <c r="T231" i="17"/>
  <c r="S231" i="17"/>
  <c r="R231" i="17"/>
  <c r="Q231" i="17"/>
  <c r="T230" i="17"/>
  <c r="S230" i="17"/>
  <c r="R230" i="17"/>
  <c r="Q230" i="17"/>
  <c r="T229" i="17"/>
  <c r="S229" i="17"/>
  <c r="R229" i="17"/>
  <c r="Q229" i="17"/>
  <c r="T228" i="17"/>
  <c r="S228" i="17"/>
  <c r="R228" i="17"/>
  <c r="Q228" i="17"/>
  <c r="T227" i="17"/>
  <c r="S227" i="17"/>
  <c r="R227" i="17"/>
  <c r="Q227" i="17"/>
  <c r="T226" i="17"/>
  <c r="S226" i="17"/>
  <c r="R226" i="17"/>
  <c r="Q226" i="17"/>
  <c r="T225" i="17"/>
  <c r="S225" i="17"/>
  <c r="R225" i="17"/>
  <c r="Q225" i="17"/>
  <c r="T224" i="17"/>
  <c r="S224" i="17"/>
  <c r="R224" i="17"/>
  <c r="Q224" i="17"/>
  <c r="T223" i="17"/>
  <c r="S223" i="17"/>
  <c r="R223" i="17"/>
  <c r="Q223" i="17"/>
  <c r="T222" i="17"/>
  <c r="S222" i="17"/>
  <c r="R222" i="17"/>
  <c r="Q222" i="17"/>
  <c r="T221" i="17"/>
  <c r="S221" i="17"/>
  <c r="R221" i="17"/>
  <c r="Q221" i="17"/>
  <c r="T220" i="17"/>
  <c r="S220" i="17"/>
  <c r="R220" i="17"/>
  <c r="Q220" i="17"/>
  <c r="T219" i="17"/>
  <c r="S219" i="17"/>
  <c r="R219" i="17"/>
  <c r="Q219" i="17"/>
  <c r="T273" i="17"/>
  <c r="S273" i="17"/>
  <c r="R273" i="17"/>
  <c r="Q273" i="17"/>
  <c r="T218" i="17"/>
  <c r="S218" i="17"/>
  <c r="R218" i="17"/>
  <c r="Q218" i="17"/>
  <c r="T217" i="17"/>
  <c r="S217" i="17"/>
  <c r="R217" i="17"/>
  <c r="Q217" i="17"/>
  <c r="T216" i="17"/>
  <c r="S216" i="17"/>
  <c r="R216" i="17"/>
  <c r="Q216" i="17"/>
  <c r="T215" i="17"/>
  <c r="S215" i="17"/>
  <c r="R215" i="17"/>
  <c r="Q215" i="17"/>
  <c r="T214" i="17"/>
  <c r="S214" i="17"/>
  <c r="R214" i="17"/>
  <c r="Q214" i="17"/>
  <c r="T213" i="17"/>
  <c r="S213" i="17"/>
  <c r="R213" i="17"/>
  <c r="Q213" i="17"/>
  <c r="T212" i="17"/>
  <c r="S212" i="17"/>
  <c r="R212" i="17"/>
  <c r="Q212" i="17"/>
  <c r="T211" i="17"/>
  <c r="S211" i="17"/>
  <c r="R211" i="17"/>
  <c r="Q211" i="17"/>
  <c r="T210" i="17"/>
  <c r="S210" i="17"/>
  <c r="R210" i="17"/>
  <c r="Q210" i="17"/>
  <c r="T209" i="17"/>
  <c r="S209" i="17"/>
  <c r="R209" i="17"/>
  <c r="Q209" i="17"/>
  <c r="T208" i="17"/>
  <c r="S208" i="17"/>
  <c r="R208" i="17"/>
  <c r="Q208" i="17"/>
  <c r="T206" i="17"/>
  <c r="S206" i="17"/>
  <c r="R206" i="17"/>
  <c r="Q206" i="17"/>
  <c r="T205" i="17"/>
  <c r="S205" i="17"/>
  <c r="R205" i="17"/>
  <c r="Q205" i="17"/>
  <c r="T204" i="17"/>
  <c r="S204" i="17"/>
  <c r="R204" i="17"/>
  <c r="Q204" i="17"/>
  <c r="T203" i="17"/>
  <c r="S203" i="17"/>
  <c r="R203" i="17"/>
  <c r="Q203" i="17"/>
  <c r="T202" i="17"/>
  <c r="S202" i="17"/>
  <c r="R202" i="17"/>
  <c r="Q202" i="17"/>
  <c r="T201" i="17"/>
  <c r="S201" i="17"/>
  <c r="R201" i="17"/>
  <c r="Q201" i="17"/>
  <c r="T200" i="17"/>
  <c r="S200" i="17"/>
  <c r="R200" i="17"/>
  <c r="Q200" i="17"/>
  <c r="T199" i="17"/>
  <c r="S199" i="17"/>
  <c r="R199" i="17"/>
  <c r="Q199" i="17"/>
  <c r="T198" i="17"/>
  <c r="S198" i="17"/>
  <c r="R198" i="17"/>
  <c r="Q198" i="17"/>
  <c r="T197" i="17"/>
  <c r="S197" i="17"/>
  <c r="R197" i="17"/>
  <c r="Q197" i="17"/>
  <c r="T196" i="17"/>
  <c r="S196" i="17"/>
  <c r="R196" i="17"/>
  <c r="Q196" i="17"/>
  <c r="T195" i="17"/>
  <c r="S195" i="17"/>
  <c r="R195" i="17"/>
  <c r="Q195" i="17"/>
  <c r="T194" i="17"/>
  <c r="S194" i="17"/>
  <c r="R194" i="17"/>
  <c r="Q194" i="17"/>
  <c r="T193" i="17"/>
  <c r="S193" i="17"/>
  <c r="R193" i="17"/>
  <c r="Q193" i="17"/>
  <c r="T192" i="17"/>
  <c r="S192" i="17"/>
  <c r="R192" i="17"/>
  <c r="Q192" i="17"/>
  <c r="T191" i="17"/>
  <c r="S191" i="17"/>
  <c r="R191" i="17"/>
  <c r="Q191" i="17"/>
  <c r="T190" i="17"/>
  <c r="S190" i="17"/>
  <c r="R190" i="17"/>
  <c r="Q190" i="17"/>
  <c r="T189" i="17"/>
  <c r="S189" i="17"/>
  <c r="R189" i="17"/>
  <c r="Q189" i="17"/>
  <c r="T188" i="17"/>
  <c r="S188" i="17"/>
  <c r="R188" i="17"/>
  <c r="Q188" i="17"/>
  <c r="T187" i="17"/>
  <c r="S187" i="17"/>
  <c r="R187" i="17"/>
  <c r="Q187" i="17"/>
  <c r="T186" i="17"/>
  <c r="S186" i="17"/>
  <c r="R186" i="17"/>
  <c r="Q186" i="17"/>
  <c r="T185" i="17"/>
  <c r="S185" i="17"/>
  <c r="R185" i="17"/>
  <c r="Q185" i="17"/>
  <c r="T184" i="17"/>
  <c r="S184" i="17"/>
  <c r="R184" i="17"/>
  <c r="Q184" i="17"/>
  <c r="T183" i="17"/>
  <c r="S183" i="17"/>
  <c r="R183" i="17"/>
  <c r="Q183" i="17"/>
  <c r="T182" i="17"/>
  <c r="S182" i="17"/>
  <c r="R182" i="17"/>
  <c r="Q182" i="17"/>
  <c r="T181" i="17"/>
  <c r="S181" i="17"/>
  <c r="R181" i="17"/>
  <c r="Q181" i="17"/>
  <c r="T180" i="17"/>
  <c r="S180" i="17"/>
  <c r="R180" i="17"/>
  <c r="Q180" i="17"/>
  <c r="T179" i="17"/>
  <c r="S179" i="17"/>
  <c r="R179" i="17"/>
  <c r="Q179" i="17"/>
  <c r="T178" i="17"/>
  <c r="S178" i="17"/>
  <c r="R178" i="17"/>
  <c r="Q178" i="17"/>
  <c r="T177" i="17"/>
  <c r="S177" i="17"/>
  <c r="R177" i="17"/>
  <c r="Q177" i="17"/>
  <c r="T176" i="17"/>
  <c r="S176" i="17"/>
  <c r="R176" i="17"/>
  <c r="Q176" i="17"/>
  <c r="T175" i="17"/>
  <c r="S175" i="17"/>
  <c r="R175" i="17"/>
  <c r="Q175" i="17"/>
  <c r="T174" i="17"/>
  <c r="S174" i="17"/>
  <c r="R174" i="17"/>
  <c r="Q174" i="17"/>
  <c r="T173" i="17"/>
  <c r="S173" i="17"/>
  <c r="R173" i="17"/>
  <c r="Q173" i="17"/>
  <c r="T172" i="17"/>
  <c r="S172" i="17"/>
  <c r="R172" i="17"/>
  <c r="Q172" i="17"/>
  <c r="T171" i="17"/>
  <c r="S171" i="17"/>
  <c r="R171" i="17"/>
  <c r="Q171" i="17"/>
  <c r="T170" i="17"/>
  <c r="S170" i="17"/>
  <c r="R170" i="17"/>
  <c r="Q170" i="17"/>
  <c r="T169" i="17"/>
  <c r="S169" i="17"/>
  <c r="R169" i="17"/>
  <c r="Q169" i="17"/>
  <c r="T168" i="17"/>
  <c r="S168" i="17"/>
  <c r="R168" i="17"/>
  <c r="Q168" i="17"/>
  <c r="T167" i="17"/>
  <c r="S167" i="17"/>
  <c r="R167" i="17"/>
  <c r="Q167" i="17"/>
  <c r="T166" i="17"/>
  <c r="S166" i="17"/>
  <c r="R166" i="17"/>
  <c r="Q166" i="17"/>
  <c r="T165" i="17"/>
  <c r="S165" i="17"/>
  <c r="R165" i="17"/>
  <c r="Q165" i="17"/>
  <c r="T164" i="17"/>
  <c r="S164" i="17"/>
  <c r="R164" i="17"/>
  <c r="Q164" i="17"/>
  <c r="T163" i="17"/>
  <c r="S163" i="17"/>
  <c r="R163" i="17"/>
  <c r="Q163" i="17"/>
  <c r="T162" i="17"/>
  <c r="S162" i="17"/>
  <c r="R162" i="17"/>
  <c r="Q162" i="17"/>
  <c r="T161" i="17"/>
  <c r="S161" i="17"/>
  <c r="R161" i="17"/>
  <c r="Q161" i="17"/>
  <c r="T160" i="17"/>
  <c r="S160" i="17"/>
  <c r="R160" i="17"/>
  <c r="Q160" i="17"/>
  <c r="T159" i="17"/>
  <c r="S159" i="17"/>
  <c r="R159" i="17"/>
  <c r="Q159" i="17"/>
  <c r="T158" i="17"/>
  <c r="S158" i="17"/>
  <c r="R158" i="17"/>
  <c r="Q158" i="17"/>
  <c r="T157" i="17"/>
  <c r="S157" i="17"/>
  <c r="R157" i="17"/>
  <c r="Q157" i="17"/>
  <c r="T156" i="17"/>
  <c r="S156" i="17"/>
  <c r="R156" i="17"/>
  <c r="Q156" i="17"/>
  <c r="T155" i="17"/>
  <c r="S155" i="17"/>
  <c r="R155" i="17"/>
  <c r="Q155" i="17"/>
  <c r="T154" i="17"/>
  <c r="S154" i="17"/>
  <c r="R154" i="17"/>
  <c r="Q154" i="17"/>
  <c r="T153" i="17"/>
  <c r="S153" i="17"/>
  <c r="R153" i="17"/>
  <c r="Q153" i="17"/>
  <c r="T152" i="17"/>
  <c r="S152" i="17"/>
  <c r="R152" i="17"/>
  <c r="Q152" i="17"/>
  <c r="T151" i="17"/>
  <c r="S151" i="17"/>
  <c r="R151" i="17"/>
  <c r="Q151" i="17"/>
  <c r="T150" i="17"/>
  <c r="S150" i="17"/>
  <c r="R150" i="17"/>
  <c r="Q150" i="17"/>
  <c r="T149" i="17"/>
  <c r="S149" i="17"/>
  <c r="R149" i="17"/>
  <c r="Q149" i="17"/>
  <c r="T148" i="17"/>
  <c r="S148" i="17"/>
  <c r="R148" i="17"/>
  <c r="Q148" i="17"/>
  <c r="T147" i="17"/>
  <c r="S147" i="17"/>
  <c r="R147" i="17"/>
  <c r="Q147" i="17"/>
  <c r="T146" i="17"/>
  <c r="S146" i="17"/>
  <c r="R146" i="17"/>
  <c r="Q146" i="17"/>
  <c r="T145" i="17"/>
  <c r="S145" i="17"/>
  <c r="R145" i="17"/>
  <c r="Q145" i="17"/>
  <c r="T144" i="17"/>
  <c r="S144" i="17"/>
  <c r="R144" i="17"/>
  <c r="Q144" i="17"/>
  <c r="T143" i="17"/>
  <c r="S143" i="17"/>
  <c r="R143" i="17"/>
  <c r="Q143" i="17"/>
  <c r="T142" i="17"/>
  <c r="S142" i="17"/>
  <c r="R142" i="17"/>
  <c r="Q142" i="17"/>
  <c r="T141" i="17"/>
  <c r="S141" i="17"/>
  <c r="R141" i="17"/>
  <c r="Q141" i="17"/>
  <c r="T140" i="17"/>
  <c r="S140" i="17"/>
  <c r="R140" i="17"/>
  <c r="Q140" i="17"/>
  <c r="T139" i="17"/>
  <c r="S139" i="17"/>
  <c r="R139" i="17"/>
  <c r="Q139" i="17"/>
  <c r="T138" i="17"/>
  <c r="S138" i="17"/>
  <c r="R138" i="17"/>
  <c r="Q138" i="17"/>
  <c r="T137" i="17"/>
  <c r="S137" i="17"/>
  <c r="R137" i="17"/>
  <c r="Q137" i="17"/>
  <c r="T136" i="17"/>
  <c r="S136" i="17"/>
  <c r="R136" i="17"/>
  <c r="Q136" i="17"/>
  <c r="T135" i="17"/>
  <c r="S135" i="17"/>
  <c r="R135" i="17"/>
  <c r="Q135" i="17"/>
  <c r="T133" i="17"/>
  <c r="S133" i="17"/>
  <c r="R133" i="17"/>
  <c r="Q133" i="17"/>
  <c r="T132" i="17"/>
  <c r="S132" i="17"/>
  <c r="R132" i="17"/>
  <c r="Q132" i="17"/>
  <c r="T131" i="17"/>
  <c r="S131" i="17"/>
  <c r="R131" i="17"/>
  <c r="Q131" i="17"/>
  <c r="T130" i="17"/>
  <c r="S130" i="17"/>
  <c r="R130" i="17"/>
  <c r="Q130" i="17"/>
  <c r="T129" i="17"/>
  <c r="S129" i="17"/>
  <c r="R129" i="17"/>
  <c r="Q129" i="17"/>
  <c r="T128" i="17"/>
  <c r="S128" i="17"/>
  <c r="R128" i="17"/>
  <c r="Q128" i="17"/>
  <c r="T127" i="17"/>
  <c r="S127" i="17"/>
  <c r="R127" i="17"/>
  <c r="Q127" i="17"/>
  <c r="T126" i="17"/>
  <c r="S126" i="17"/>
  <c r="R126" i="17"/>
  <c r="Q126" i="17"/>
  <c r="T125" i="17"/>
  <c r="S125" i="17"/>
  <c r="R125" i="17"/>
  <c r="Q125" i="17"/>
  <c r="T124" i="17"/>
  <c r="S124" i="17"/>
  <c r="R124" i="17"/>
  <c r="Q124" i="17"/>
  <c r="T123" i="17"/>
  <c r="S123" i="17"/>
  <c r="R123" i="17"/>
  <c r="Q123" i="17"/>
  <c r="T122" i="17"/>
  <c r="S122" i="17"/>
  <c r="R122" i="17"/>
  <c r="Q122" i="17"/>
  <c r="T121" i="17"/>
  <c r="S121" i="17"/>
  <c r="R121" i="17"/>
  <c r="Q121" i="17"/>
  <c r="T120" i="17"/>
  <c r="S120" i="17"/>
  <c r="R120" i="17"/>
  <c r="Q120" i="17"/>
  <c r="T119" i="17"/>
  <c r="S119" i="17"/>
  <c r="R119" i="17"/>
  <c r="Q119" i="17"/>
  <c r="T118" i="17"/>
  <c r="S118" i="17"/>
  <c r="R118" i="17"/>
  <c r="Q118" i="17"/>
  <c r="T117" i="17"/>
  <c r="S117" i="17"/>
  <c r="R117" i="17"/>
  <c r="Q117" i="17"/>
  <c r="T116" i="17"/>
  <c r="S116" i="17"/>
  <c r="R116" i="17"/>
  <c r="Q116" i="17"/>
  <c r="T115" i="17"/>
  <c r="S115" i="17"/>
  <c r="R115" i="17"/>
  <c r="Q115" i="17"/>
  <c r="T114" i="17"/>
  <c r="S114" i="17"/>
  <c r="R114" i="17"/>
  <c r="Q114" i="17"/>
  <c r="T113" i="17"/>
  <c r="S113" i="17"/>
  <c r="R113" i="17"/>
  <c r="Q113" i="17"/>
  <c r="T112" i="17"/>
  <c r="S112" i="17"/>
  <c r="R112" i="17"/>
  <c r="Q112" i="17"/>
  <c r="T111" i="17"/>
  <c r="S111" i="17"/>
  <c r="R111" i="17"/>
  <c r="Q111" i="17"/>
  <c r="T109" i="17"/>
  <c r="S109" i="17"/>
  <c r="R109" i="17"/>
  <c r="Q109" i="17"/>
  <c r="T108" i="17"/>
  <c r="S108" i="17"/>
  <c r="R108" i="17"/>
  <c r="Q108" i="17"/>
  <c r="T107" i="17"/>
  <c r="S107" i="17"/>
  <c r="R107" i="17"/>
  <c r="Q107" i="17"/>
  <c r="T106" i="17"/>
  <c r="S106" i="17"/>
  <c r="R106" i="17"/>
  <c r="Q106" i="17"/>
  <c r="T105" i="17"/>
  <c r="S105" i="17"/>
  <c r="R105" i="17"/>
  <c r="Q105" i="17"/>
  <c r="T104" i="17"/>
  <c r="S104" i="17"/>
  <c r="R104" i="17"/>
  <c r="Q104" i="17"/>
  <c r="T103" i="17"/>
  <c r="S103" i="17"/>
  <c r="R103" i="17"/>
  <c r="Q103" i="17"/>
  <c r="T101" i="17"/>
  <c r="S101" i="17"/>
  <c r="R101" i="17"/>
  <c r="Q101" i="17"/>
  <c r="T100" i="17"/>
  <c r="S100" i="17"/>
  <c r="R100" i="17"/>
  <c r="Q100" i="17"/>
  <c r="T99" i="17"/>
  <c r="S99" i="17"/>
  <c r="R99" i="17"/>
  <c r="Q99" i="17"/>
  <c r="T98" i="17"/>
  <c r="S98" i="17"/>
  <c r="R98" i="17"/>
  <c r="Q98" i="17"/>
  <c r="T97" i="17"/>
  <c r="S97" i="17"/>
  <c r="R97" i="17"/>
  <c r="Q97" i="17"/>
  <c r="T96" i="17"/>
  <c r="S96" i="17"/>
  <c r="R96" i="17"/>
  <c r="Q96" i="17"/>
  <c r="T95" i="17"/>
  <c r="S95" i="17"/>
  <c r="R95" i="17"/>
  <c r="Q95" i="17"/>
  <c r="T93" i="17"/>
  <c r="S93" i="17"/>
  <c r="R93" i="17"/>
  <c r="Q93" i="17"/>
  <c r="T92" i="17"/>
  <c r="S92" i="17"/>
  <c r="R92" i="17"/>
  <c r="Q92" i="17"/>
  <c r="T91" i="17"/>
  <c r="S91" i="17"/>
  <c r="R91" i="17"/>
  <c r="Q91" i="17"/>
  <c r="T90" i="17"/>
  <c r="S90" i="17"/>
  <c r="R90" i="17"/>
  <c r="Q90" i="17"/>
  <c r="T89" i="17"/>
  <c r="S89" i="17"/>
  <c r="R89" i="17"/>
  <c r="Q89" i="17"/>
  <c r="T88" i="17"/>
  <c r="S88" i="17"/>
  <c r="R88" i="17"/>
  <c r="Q88" i="17"/>
  <c r="T87" i="17"/>
  <c r="S87" i="17"/>
  <c r="R87" i="17"/>
  <c r="Q87" i="17"/>
  <c r="T86" i="17"/>
  <c r="S86" i="17"/>
  <c r="R86" i="17"/>
  <c r="Q86" i="17"/>
  <c r="T85" i="17"/>
  <c r="S85" i="17"/>
  <c r="R85" i="17"/>
  <c r="Q85" i="17"/>
  <c r="T84" i="17"/>
  <c r="S84" i="17"/>
  <c r="R84" i="17"/>
  <c r="Q84" i="17"/>
  <c r="T82" i="17"/>
  <c r="S82" i="17"/>
  <c r="R82" i="17"/>
  <c r="Q82" i="17"/>
  <c r="T81" i="17"/>
  <c r="S81" i="17"/>
  <c r="R81" i="17"/>
  <c r="Q81" i="17"/>
  <c r="T80" i="17"/>
  <c r="S80" i="17"/>
  <c r="R80" i="17"/>
  <c r="Q80" i="17"/>
  <c r="T79" i="17"/>
  <c r="S79" i="17"/>
  <c r="R79" i="17"/>
  <c r="Q79" i="17"/>
  <c r="T78" i="17"/>
  <c r="S78" i="17"/>
  <c r="R78" i="17"/>
  <c r="Q78" i="17"/>
  <c r="T77" i="17"/>
  <c r="S77" i="17"/>
  <c r="R77" i="17"/>
  <c r="Q77" i="17"/>
  <c r="T76" i="17"/>
  <c r="S76" i="17"/>
  <c r="R76" i="17"/>
  <c r="Q76" i="17"/>
  <c r="T75" i="17"/>
  <c r="S75" i="17"/>
  <c r="R75" i="17"/>
  <c r="Q75" i="17"/>
  <c r="T74" i="17"/>
  <c r="S74" i="17"/>
  <c r="R74" i="17"/>
  <c r="Q74" i="17"/>
  <c r="T73" i="17"/>
  <c r="S73" i="17"/>
  <c r="R73" i="17"/>
  <c r="Q73" i="17"/>
  <c r="T72" i="17"/>
  <c r="S72" i="17"/>
  <c r="R72" i="17"/>
  <c r="Q72" i="17"/>
  <c r="T71" i="17"/>
  <c r="S71" i="17"/>
  <c r="R71" i="17"/>
  <c r="Q71" i="17"/>
  <c r="T70" i="17"/>
  <c r="S70" i="17"/>
  <c r="R70" i="17"/>
  <c r="Q70" i="17"/>
  <c r="T67" i="17"/>
  <c r="S67" i="17"/>
  <c r="R67" i="17"/>
  <c r="Q67" i="17"/>
  <c r="T66" i="17"/>
  <c r="S66" i="17"/>
  <c r="R66" i="17"/>
  <c r="Q66" i="17"/>
  <c r="T65" i="17"/>
  <c r="S65" i="17"/>
  <c r="R65" i="17"/>
  <c r="Q65" i="17"/>
  <c r="T64" i="17"/>
  <c r="S64" i="17"/>
  <c r="R64" i="17"/>
  <c r="Q64" i="17"/>
  <c r="T63" i="17"/>
  <c r="S63" i="17"/>
  <c r="R63" i="17"/>
  <c r="Q63" i="17"/>
  <c r="T62" i="17"/>
  <c r="S62" i="17"/>
  <c r="R62" i="17"/>
  <c r="Q62" i="17"/>
  <c r="T61" i="17"/>
  <c r="S61" i="17"/>
  <c r="R61" i="17"/>
  <c r="Q61" i="17"/>
  <c r="T60" i="17"/>
  <c r="S60" i="17"/>
  <c r="R60" i="17"/>
  <c r="Q60" i="17"/>
  <c r="T59" i="17"/>
  <c r="S59" i="17"/>
  <c r="R59" i="17"/>
  <c r="Q59" i="17"/>
  <c r="T58" i="17"/>
  <c r="S58" i="17"/>
  <c r="R58" i="17"/>
  <c r="Q58" i="17"/>
  <c r="T57" i="17"/>
  <c r="S57" i="17"/>
  <c r="R57" i="17"/>
  <c r="Q57" i="17"/>
  <c r="T56" i="17"/>
  <c r="S56" i="17"/>
  <c r="R56" i="17"/>
  <c r="Q56" i="17"/>
  <c r="T55" i="17"/>
  <c r="S55" i="17"/>
  <c r="R55" i="17"/>
  <c r="Q55" i="17"/>
  <c r="T54" i="17"/>
  <c r="S54" i="17"/>
  <c r="R54" i="17"/>
  <c r="Q54" i="17"/>
  <c r="T53" i="17"/>
  <c r="S53" i="17"/>
  <c r="R53" i="17"/>
  <c r="Q53" i="17"/>
  <c r="T52" i="17"/>
  <c r="S52" i="17"/>
  <c r="R52" i="17"/>
  <c r="Q52" i="17"/>
  <c r="T51" i="17"/>
  <c r="S51" i="17"/>
  <c r="R51" i="17"/>
  <c r="Q51" i="17"/>
  <c r="T50" i="17"/>
  <c r="S50" i="17"/>
  <c r="R50" i="17"/>
  <c r="Q50" i="17"/>
  <c r="T48" i="17"/>
  <c r="S48" i="17"/>
  <c r="R48" i="17"/>
  <c r="Q48" i="17"/>
  <c r="T47" i="17"/>
  <c r="S47" i="17"/>
  <c r="R47" i="17"/>
  <c r="Q47" i="17"/>
  <c r="T46" i="17"/>
  <c r="S46" i="17"/>
  <c r="R46" i="17"/>
  <c r="Q46" i="17"/>
  <c r="T45" i="17"/>
  <c r="S45" i="17"/>
  <c r="R45" i="17"/>
  <c r="Q45" i="17"/>
  <c r="T44" i="17"/>
  <c r="S44" i="17"/>
  <c r="R44" i="17"/>
  <c r="Q44" i="17"/>
  <c r="T43" i="17"/>
  <c r="S43" i="17"/>
  <c r="R43" i="17"/>
  <c r="Q43" i="17"/>
  <c r="T42" i="17"/>
  <c r="S42" i="17"/>
  <c r="R42" i="17"/>
  <c r="Q42" i="17"/>
  <c r="T41" i="17"/>
  <c r="S41" i="17"/>
  <c r="R41" i="17"/>
  <c r="Q41" i="17"/>
  <c r="T40" i="17"/>
  <c r="S40" i="17"/>
  <c r="R40" i="17"/>
  <c r="Q40" i="17"/>
  <c r="T39" i="17"/>
  <c r="S39" i="17"/>
  <c r="R39" i="17"/>
  <c r="Q39" i="17"/>
  <c r="T38" i="17"/>
  <c r="S38" i="17"/>
  <c r="R38" i="17"/>
  <c r="Q38" i="17"/>
  <c r="T37" i="17"/>
  <c r="S37" i="17"/>
  <c r="R37" i="17"/>
  <c r="Q37" i="17"/>
  <c r="T36" i="17"/>
  <c r="S36" i="17"/>
  <c r="R36" i="17"/>
  <c r="Q36" i="17"/>
  <c r="T35" i="17"/>
  <c r="S35" i="17"/>
  <c r="R35" i="17"/>
  <c r="Q35" i="17"/>
  <c r="T34" i="17"/>
  <c r="S34" i="17"/>
  <c r="R34" i="17"/>
  <c r="Q34" i="17"/>
  <c r="T33" i="17"/>
  <c r="S33" i="17"/>
  <c r="R33" i="17"/>
  <c r="Q33" i="17"/>
  <c r="T32" i="17"/>
  <c r="S32" i="17"/>
  <c r="R32" i="17"/>
  <c r="Q32" i="17"/>
  <c r="T31" i="17"/>
  <c r="S31" i="17"/>
  <c r="R31" i="17"/>
  <c r="Q31" i="17"/>
  <c r="T30" i="17"/>
  <c r="S30" i="17"/>
  <c r="R30" i="17"/>
  <c r="Q30" i="17"/>
  <c r="T29" i="17"/>
  <c r="S29" i="17"/>
  <c r="R29" i="17"/>
  <c r="Q29" i="17"/>
  <c r="T28" i="17"/>
  <c r="S28" i="17"/>
  <c r="R28" i="17"/>
  <c r="Q28" i="17"/>
  <c r="T27" i="17"/>
  <c r="S27" i="17"/>
  <c r="R27" i="17"/>
  <c r="Q27" i="17"/>
  <c r="T26" i="17"/>
  <c r="S26" i="17"/>
  <c r="R26" i="17"/>
  <c r="Q26" i="17"/>
  <c r="T25" i="17"/>
  <c r="S25" i="17"/>
  <c r="R25" i="17"/>
  <c r="Q25" i="17"/>
  <c r="T24" i="17"/>
  <c r="S24" i="17"/>
  <c r="R24" i="17"/>
  <c r="Q24" i="17"/>
  <c r="T23" i="17"/>
  <c r="S23" i="17"/>
  <c r="R23" i="17"/>
  <c r="Q23" i="17"/>
  <c r="T22" i="17"/>
  <c r="S22" i="17"/>
  <c r="R22" i="17"/>
  <c r="Q22" i="17"/>
  <c r="T21" i="17"/>
  <c r="S21" i="17"/>
  <c r="R21" i="17"/>
  <c r="Q21" i="17"/>
  <c r="T20" i="17"/>
  <c r="S20" i="17"/>
  <c r="R20" i="17"/>
  <c r="Q20" i="17"/>
  <c r="T19" i="17"/>
  <c r="S19" i="17"/>
  <c r="R19" i="17"/>
  <c r="Q19" i="17"/>
  <c r="T18" i="17"/>
  <c r="S18" i="17"/>
  <c r="R18" i="17"/>
  <c r="Q18" i="17"/>
  <c r="T17" i="17"/>
  <c r="S17" i="17"/>
  <c r="R17" i="17"/>
  <c r="Q17" i="17"/>
  <c r="T16" i="17"/>
  <c r="S16" i="17"/>
  <c r="R16" i="17"/>
  <c r="Q16" i="17"/>
  <c r="T15" i="17"/>
  <c r="S15" i="17"/>
  <c r="R15" i="17"/>
  <c r="Q15" i="17"/>
  <c r="T102" i="17"/>
  <c r="G243" i="17"/>
  <c r="T243" i="17" s="1"/>
  <c r="Q102" i="17" l="1"/>
  <c r="R102" i="17"/>
  <c r="S102" i="17"/>
  <c r="R243" i="17"/>
  <c r="S243" i="17"/>
  <c r="G134" i="17"/>
  <c r="G207" i="17"/>
  <c r="G94" i="17"/>
  <c r="G310" i="17"/>
  <c r="G110" i="17"/>
  <c r="G83" i="17"/>
  <c r="G310" i="16"/>
  <c r="M303" i="16"/>
  <c r="K303" i="16"/>
  <c r="I303" i="16"/>
  <c r="G303" i="16"/>
  <c r="G93" i="16"/>
  <c r="I203" i="16"/>
  <c r="G203" i="16"/>
  <c r="G278" i="16"/>
  <c r="I278" i="16"/>
  <c r="T83" i="17" l="1"/>
  <c r="S83" i="17"/>
  <c r="R83" i="17"/>
  <c r="Q83" i="17"/>
  <c r="T110" i="17"/>
  <c r="S110" i="17"/>
  <c r="R110" i="17"/>
  <c r="Q110" i="17"/>
  <c r="T68" i="17"/>
  <c r="R68" i="17"/>
  <c r="Q68" i="17"/>
  <c r="S68" i="17"/>
  <c r="Q94" i="17"/>
  <c r="T94" i="17"/>
  <c r="S94" i="17"/>
  <c r="R94" i="17"/>
  <c r="T207" i="17"/>
  <c r="S207" i="17"/>
  <c r="R207" i="17"/>
  <c r="Q207" i="17"/>
  <c r="T134" i="17"/>
  <c r="S134" i="17"/>
  <c r="R134" i="17"/>
  <c r="Q134" i="17"/>
  <c r="M109" i="16"/>
  <c r="K109" i="16"/>
  <c r="I109" i="16"/>
  <c r="G109" i="16"/>
  <c r="T299" i="17"/>
  <c r="Q14" i="17"/>
  <c r="S14" i="17"/>
  <c r="R14" i="17"/>
  <c r="T344" i="17"/>
  <c r="T343" i="17"/>
  <c r="T342" i="17"/>
  <c r="T341" i="17"/>
  <c r="T340" i="17"/>
  <c r="T339" i="17"/>
  <c r="T338" i="17"/>
  <c r="T337" i="17"/>
  <c r="T336" i="17"/>
  <c r="T335" i="17"/>
  <c r="T334" i="17"/>
  <c r="T333" i="17"/>
  <c r="T332" i="17"/>
  <c r="T331" i="17"/>
  <c r="T330" i="17"/>
  <c r="T329" i="17"/>
  <c r="T328" i="17"/>
  <c r="T327" i="17"/>
  <c r="T326" i="17"/>
  <c r="T325" i="17"/>
  <c r="T324" i="17"/>
  <c r="T323" i="17"/>
  <c r="T322" i="17"/>
  <c r="T321" i="17"/>
  <c r="T320" i="17"/>
  <c r="T319" i="17"/>
  <c r="T318" i="17"/>
  <c r="T317" i="17"/>
  <c r="T316" i="17"/>
  <c r="T315" i="17"/>
  <c r="T314" i="17"/>
  <c r="T313" i="17"/>
  <c r="T312" i="17"/>
  <c r="T311" i="17"/>
  <c r="T310" i="17"/>
  <c r="T309" i="17"/>
  <c r="T308" i="17"/>
  <c r="T307" i="17"/>
  <c r="T306" i="17"/>
  <c r="T305" i="17"/>
  <c r="T304" i="17"/>
  <c r="T303" i="17"/>
  <c r="T302" i="17"/>
  <c r="T301" i="17"/>
  <c r="T300" i="17"/>
  <c r="T298" i="17"/>
  <c r="T297" i="17"/>
  <c r="T296" i="17"/>
  <c r="T295" i="17"/>
  <c r="T294" i="17"/>
  <c r="T293" i="17"/>
  <c r="T292" i="17"/>
  <c r="T291" i="17"/>
  <c r="T290" i="17"/>
  <c r="T289" i="17"/>
  <c r="T14" i="17"/>
  <c r="G38" i="16"/>
  <c r="I38" i="16"/>
  <c r="Q14" i="15" l="1"/>
  <c r="Q14" i="16"/>
  <c r="Q282" i="14"/>
  <c r="Q20" i="15"/>
  <c r="Q17" i="16"/>
  <c r="Q18" i="16"/>
  <c r="Q21" i="16"/>
  <c r="M67" i="16"/>
  <c r="I146" i="16"/>
  <c r="G146" i="16"/>
  <c r="G200" i="16" l="1"/>
  <c r="G219" i="16" l="1"/>
  <c r="G92" i="16" l="1"/>
  <c r="I92" i="16"/>
  <c r="K67" i="16" l="1"/>
  <c r="I299" i="16"/>
  <c r="G299" i="16"/>
  <c r="I81" i="16"/>
  <c r="G26" i="16" l="1"/>
  <c r="G186" i="16"/>
  <c r="G154" i="16" l="1"/>
  <c r="I67" i="16"/>
  <c r="G144" i="16"/>
  <c r="I144" i="16"/>
  <c r="I141" i="16"/>
  <c r="G141" i="16"/>
  <c r="G261" i="16" l="1"/>
  <c r="G214" i="16" l="1"/>
  <c r="G188" i="16" l="1"/>
  <c r="G27" i="16"/>
  <c r="G280" i="16"/>
  <c r="T265" i="16"/>
  <c r="S265" i="16"/>
  <c r="R265" i="16"/>
  <c r="Q265" i="16"/>
  <c r="T253" i="16"/>
  <c r="S253" i="16"/>
  <c r="R253" i="16"/>
  <c r="Q253" i="16"/>
  <c r="T249" i="16"/>
  <c r="S249" i="16"/>
  <c r="R249" i="16"/>
  <c r="Q249" i="16"/>
  <c r="T239" i="16"/>
  <c r="S239" i="16"/>
  <c r="R239" i="16"/>
  <c r="Q239" i="16"/>
  <c r="T234" i="16"/>
  <c r="S234" i="16"/>
  <c r="R234" i="16"/>
  <c r="Q234" i="16"/>
  <c r="T193" i="16"/>
  <c r="S193" i="16"/>
  <c r="R193" i="16"/>
  <c r="Q193" i="16"/>
  <c r="T120" i="16"/>
  <c r="S120" i="16"/>
  <c r="R120" i="16"/>
  <c r="Q120" i="16"/>
  <c r="T149" i="16"/>
  <c r="S149" i="16"/>
  <c r="R149" i="16"/>
  <c r="Q149" i="16"/>
  <c r="T130" i="16"/>
  <c r="S130" i="16"/>
  <c r="R130" i="16"/>
  <c r="Q130" i="16"/>
  <c r="T108" i="16"/>
  <c r="S108" i="16"/>
  <c r="R108" i="16"/>
  <c r="Q108" i="16"/>
  <c r="T106" i="16"/>
  <c r="S106" i="16"/>
  <c r="R106" i="16"/>
  <c r="Q106" i="16"/>
  <c r="T50" i="16"/>
  <c r="S50" i="16"/>
  <c r="R50" i="16"/>
  <c r="R51" i="16"/>
  <c r="Q50" i="16"/>
  <c r="G244" i="16"/>
  <c r="G231" i="16" l="1"/>
  <c r="Q288" i="16"/>
  <c r="Q287" i="16"/>
  <c r="Q286" i="16"/>
  <c r="Q285" i="16"/>
  <c r="Q284" i="16"/>
  <c r="Q283" i="16"/>
  <c r="Q282" i="16"/>
  <c r="Q281" i="16"/>
  <c r="Q280" i="16"/>
  <c r="Q279" i="16"/>
  <c r="Q278" i="16"/>
  <c r="Q277" i="16"/>
  <c r="Q276" i="16"/>
  <c r="Q275" i="16"/>
  <c r="Q274" i="16"/>
  <c r="Q273" i="16"/>
  <c r="Q272" i="16"/>
  <c r="Q271" i="16"/>
  <c r="Q270" i="16"/>
  <c r="Q269" i="16"/>
  <c r="Q267" i="16"/>
  <c r="Q268" i="16"/>
  <c r="Q266" i="16"/>
  <c r="Q264" i="16"/>
  <c r="Q263" i="16"/>
  <c r="Q262" i="16"/>
  <c r="Q261" i="16"/>
  <c r="Q260" i="16"/>
  <c r="Q259" i="16"/>
  <c r="Q258" i="16"/>
  <c r="Q257" i="16"/>
  <c r="Q256" i="16"/>
  <c r="Q255" i="16"/>
  <c r="Q254" i="16"/>
  <c r="Q252" i="16"/>
  <c r="Q251" i="16"/>
  <c r="Q250" i="16"/>
  <c r="Q248" i="16"/>
  <c r="Q247" i="16"/>
  <c r="Q246" i="16"/>
  <c r="Q245" i="16"/>
  <c r="Q243" i="16"/>
  <c r="Q244" i="16"/>
  <c r="Q242" i="16"/>
  <c r="Q241" i="16"/>
  <c r="Q240" i="16"/>
  <c r="Q238" i="16"/>
  <c r="Q237" i="16"/>
  <c r="Q236" i="16"/>
  <c r="Q235" i="16"/>
  <c r="Q233" i="16"/>
  <c r="Q232" i="16"/>
  <c r="Q231" i="16"/>
  <c r="Q230" i="16"/>
  <c r="Q229" i="16"/>
  <c r="Q228" i="16"/>
  <c r="Q227" i="16"/>
  <c r="Q226" i="16"/>
  <c r="Q224" i="16"/>
  <c r="Q223" i="16"/>
  <c r="Q222" i="16"/>
  <c r="Q221" i="16"/>
  <c r="Q220" i="16"/>
  <c r="Q219" i="16"/>
  <c r="Q218" i="16"/>
  <c r="Q217" i="16"/>
  <c r="Q216" i="16"/>
  <c r="Q215" i="16"/>
  <c r="Q214" i="16"/>
  <c r="Q213" i="16"/>
  <c r="Q212" i="16"/>
  <c r="Q211" i="16"/>
  <c r="Q210" i="16"/>
  <c r="Q225" i="16"/>
  <c r="Q209" i="16"/>
  <c r="Q208" i="16"/>
  <c r="Q207" i="16"/>
  <c r="Q206" i="16"/>
  <c r="Q205" i="16"/>
  <c r="Q204" i="16"/>
  <c r="Q203" i="16"/>
  <c r="Q202" i="16"/>
  <c r="Q201" i="16"/>
  <c r="Q200" i="16"/>
  <c r="Q199" i="16"/>
  <c r="Q198" i="16"/>
  <c r="Q196" i="16"/>
  <c r="Q195" i="16"/>
  <c r="Q197" i="16"/>
  <c r="Q194" i="16"/>
  <c r="Q192" i="16"/>
  <c r="Q191" i="16"/>
  <c r="Q190" i="16"/>
  <c r="Q189" i="16"/>
  <c r="Q188" i="16"/>
  <c r="Q187" i="16"/>
  <c r="Q186" i="16"/>
  <c r="Q185" i="16"/>
  <c r="Q184" i="16"/>
  <c r="Q183" i="16"/>
  <c r="Q182" i="16"/>
  <c r="Q181" i="16"/>
  <c r="Q180" i="16"/>
  <c r="Q178" i="16"/>
  <c r="Q177" i="16"/>
  <c r="Q175" i="16"/>
  <c r="Q174" i="16"/>
  <c r="Q173" i="16"/>
  <c r="Q172" i="16"/>
  <c r="Q179" i="16"/>
  <c r="Q75" i="16"/>
  <c r="Q170" i="16"/>
  <c r="Q171" i="16"/>
  <c r="Q168" i="16"/>
  <c r="Q167" i="16"/>
  <c r="Q166" i="16"/>
  <c r="Q165" i="16"/>
  <c r="Q164" i="16"/>
  <c r="Q163" i="16"/>
  <c r="Q162" i="16"/>
  <c r="Q161" i="16"/>
  <c r="Q143" i="16"/>
  <c r="Q160" i="16"/>
  <c r="Q159" i="16"/>
  <c r="Q158" i="16"/>
  <c r="Q157" i="16"/>
  <c r="Q156" i="16"/>
  <c r="Q155" i="16"/>
  <c r="Q154" i="16"/>
  <c r="Q153" i="16"/>
  <c r="Q152" i="16"/>
  <c r="Q151" i="16"/>
  <c r="Q150" i="16"/>
  <c r="Q148" i="16"/>
  <c r="Q147" i="16"/>
  <c r="Q146" i="16"/>
  <c r="Q145" i="16"/>
  <c r="Q144" i="16"/>
  <c r="Q142" i="16"/>
  <c r="Q141" i="16"/>
  <c r="Q140" i="16"/>
  <c r="Q139" i="16"/>
  <c r="Q138" i="16"/>
  <c r="Q137" i="16"/>
  <c r="Q135" i="16"/>
  <c r="Q134" i="16"/>
  <c r="Q136" i="16"/>
  <c r="Q133" i="16"/>
  <c r="Q132" i="16"/>
  <c r="Q131" i="16"/>
  <c r="Q129" i="16"/>
  <c r="Q176" i="16"/>
  <c r="Q128" i="16"/>
  <c r="Q127" i="16"/>
  <c r="Q126" i="16"/>
  <c r="Q125" i="16"/>
  <c r="Q124" i="16"/>
  <c r="Q123" i="16"/>
  <c r="Q122" i="16"/>
  <c r="Q121" i="16"/>
  <c r="Q119" i="16"/>
  <c r="Q118" i="16"/>
  <c r="Q117" i="16"/>
  <c r="Q116" i="16"/>
  <c r="Q115" i="16"/>
  <c r="Q114" i="16"/>
  <c r="Q113" i="16"/>
  <c r="Q112" i="16"/>
  <c r="Q111" i="16"/>
  <c r="Q110" i="16"/>
  <c r="Q107" i="16"/>
  <c r="Q105" i="16"/>
  <c r="Q104" i="16"/>
  <c r="Q103" i="16"/>
  <c r="Q102" i="16"/>
  <c r="Q101" i="16"/>
  <c r="Q100" i="16"/>
  <c r="Q97" i="16"/>
  <c r="Q99" i="16"/>
  <c r="Q98" i="16"/>
  <c r="Q96" i="16"/>
  <c r="Q95" i="16"/>
  <c r="Q94" i="16"/>
  <c r="Q93" i="16"/>
  <c r="Q92" i="16"/>
  <c r="Q90" i="16"/>
  <c r="Q91" i="16"/>
  <c r="Q89" i="16"/>
  <c r="Q88" i="16"/>
  <c r="Q87" i="16"/>
  <c r="Q86" i="16"/>
  <c r="Q85" i="16"/>
  <c r="Q84" i="16"/>
  <c r="Q83" i="16"/>
  <c r="Q169" i="16"/>
  <c r="Q82" i="16"/>
  <c r="Q81" i="16"/>
  <c r="Q80" i="16"/>
  <c r="Q79" i="16"/>
  <c r="Q78" i="16"/>
  <c r="Q77" i="16"/>
  <c r="Q76" i="16"/>
  <c r="Q74" i="16"/>
  <c r="Q73" i="16"/>
  <c r="Q72" i="16"/>
  <c r="Q71" i="16"/>
  <c r="Q70" i="16"/>
  <c r="Q69" i="16"/>
  <c r="Q68" i="16"/>
  <c r="Q66" i="16"/>
  <c r="Q65" i="16"/>
  <c r="Q64" i="16"/>
  <c r="Q63" i="16"/>
  <c r="Q62" i="16"/>
  <c r="Q61" i="16"/>
  <c r="Q60" i="16"/>
  <c r="Q59" i="16"/>
  <c r="Q58" i="16"/>
  <c r="Q57" i="16"/>
  <c r="Q56" i="16"/>
  <c r="Q55" i="16"/>
  <c r="Q54" i="16"/>
  <c r="Q53" i="16"/>
  <c r="Q52" i="16"/>
  <c r="Q51" i="16"/>
  <c r="Q49" i="16"/>
  <c r="Q48" i="16"/>
  <c r="Q47" i="16"/>
  <c r="Q46" i="16"/>
  <c r="Q45" i="16"/>
  <c r="Q44" i="16"/>
  <c r="Q43" i="16"/>
  <c r="Q42" i="16"/>
  <c r="Q41" i="16"/>
  <c r="Q40" i="16"/>
  <c r="Q39" i="16"/>
  <c r="Q38" i="16"/>
  <c r="Q37" i="16"/>
  <c r="Q36" i="16"/>
  <c r="Q35" i="16"/>
  <c r="Q34" i="16"/>
  <c r="Q33" i="16"/>
  <c r="Q32" i="16"/>
  <c r="Q31" i="16"/>
  <c r="Q30" i="16"/>
  <c r="Q29" i="16"/>
  <c r="Q28" i="16"/>
  <c r="Q27" i="16"/>
  <c r="Q26" i="16"/>
  <c r="Q25" i="16"/>
  <c r="Q24" i="16"/>
  <c r="Q23" i="16"/>
  <c r="Q22" i="16"/>
  <c r="Q20" i="16"/>
  <c r="Q19" i="16"/>
  <c r="Q16" i="16"/>
  <c r="Q15" i="16"/>
  <c r="T205" i="16"/>
  <c r="S205" i="16"/>
  <c r="R205" i="16"/>
  <c r="G67" i="16"/>
  <c r="Q67" i="16" s="1"/>
  <c r="Q109" i="16" l="1"/>
  <c r="R15" i="16"/>
  <c r="S15" i="16"/>
  <c r="R16" i="16"/>
  <c r="S16" i="16"/>
  <c r="R17" i="16"/>
  <c r="S17" i="16"/>
  <c r="R18" i="16"/>
  <c r="S18" i="16"/>
  <c r="R19" i="16"/>
  <c r="S19" i="16"/>
  <c r="R20" i="16"/>
  <c r="S20" i="16"/>
  <c r="R21" i="16"/>
  <c r="S21" i="16"/>
  <c r="R22" i="16"/>
  <c r="S22" i="16"/>
  <c r="R23" i="16"/>
  <c r="S23" i="16"/>
  <c r="R24" i="16"/>
  <c r="S24" i="16"/>
  <c r="R25" i="16"/>
  <c r="S25" i="16"/>
  <c r="R26" i="16"/>
  <c r="S26" i="16"/>
  <c r="R27" i="16"/>
  <c r="S27" i="16"/>
  <c r="R28" i="16"/>
  <c r="S28" i="16"/>
  <c r="R29" i="16"/>
  <c r="S29" i="16"/>
  <c r="R30" i="16"/>
  <c r="S30" i="16"/>
  <c r="R31" i="16"/>
  <c r="S31" i="16"/>
  <c r="R32" i="16"/>
  <c r="S32" i="16"/>
  <c r="R33" i="16"/>
  <c r="S33" i="16"/>
  <c r="R34" i="16"/>
  <c r="S34" i="16"/>
  <c r="R35" i="16"/>
  <c r="S35" i="16"/>
  <c r="R36" i="16"/>
  <c r="S36" i="16"/>
  <c r="R37" i="16"/>
  <c r="S37" i="16"/>
  <c r="R38" i="16"/>
  <c r="S38" i="16"/>
  <c r="R39" i="16"/>
  <c r="S39" i="16"/>
  <c r="R40" i="16"/>
  <c r="S40" i="16"/>
  <c r="R41" i="16"/>
  <c r="S41" i="16"/>
  <c r="R42" i="16"/>
  <c r="S42" i="16"/>
  <c r="R43" i="16"/>
  <c r="S43" i="16"/>
  <c r="R44" i="16"/>
  <c r="S44" i="16"/>
  <c r="R45" i="16"/>
  <c r="S45" i="16"/>
  <c r="R46" i="16"/>
  <c r="S46" i="16"/>
  <c r="R47" i="16"/>
  <c r="S47" i="16"/>
  <c r="R48" i="16"/>
  <c r="S48" i="16"/>
  <c r="R49" i="16"/>
  <c r="S49" i="16"/>
  <c r="S51" i="16"/>
  <c r="R52" i="16"/>
  <c r="S52" i="16"/>
  <c r="R53" i="16"/>
  <c r="S53" i="16"/>
  <c r="R54" i="16"/>
  <c r="S54" i="16"/>
  <c r="R55" i="16"/>
  <c r="S55" i="16"/>
  <c r="R56" i="16"/>
  <c r="S56" i="16"/>
  <c r="R57" i="16"/>
  <c r="S57" i="16"/>
  <c r="R58" i="16"/>
  <c r="S58" i="16"/>
  <c r="R59" i="16"/>
  <c r="S59" i="16"/>
  <c r="R60" i="16"/>
  <c r="S60" i="16"/>
  <c r="R61" i="16"/>
  <c r="S61" i="16"/>
  <c r="R62" i="16"/>
  <c r="S62" i="16"/>
  <c r="R63" i="16"/>
  <c r="S63" i="16"/>
  <c r="R64" i="16"/>
  <c r="S64" i="16"/>
  <c r="R65" i="16"/>
  <c r="S65" i="16"/>
  <c r="R66" i="16"/>
  <c r="S66" i="16"/>
  <c r="R67" i="16"/>
  <c r="S67" i="16"/>
  <c r="R68" i="16"/>
  <c r="S68" i="16"/>
  <c r="R69" i="16"/>
  <c r="S69" i="16"/>
  <c r="R70" i="16"/>
  <c r="S70" i="16"/>
  <c r="R71" i="16"/>
  <c r="S71" i="16"/>
  <c r="R72" i="16"/>
  <c r="S72" i="16"/>
  <c r="R73" i="16"/>
  <c r="S73" i="16"/>
  <c r="R74" i="16"/>
  <c r="S74" i="16"/>
  <c r="R76" i="16"/>
  <c r="S76" i="16"/>
  <c r="R77" i="16"/>
  <c r="S77" i="16"/>
  <c r="R78" i="16"/>
  <c r="S78" i="16"/>
  <c r="R79" i="16"/>
  <c r="S79" i="16"/>
  <c r="R80" i="16"/>
  <c r="S80" i="16"/>
  <c r="R81" i="16"/>
  <c r="S81" i="16"/>
  <c r="R82" i="16"/>
  <c r="S82" i="16"/>
  <c r="R169" i="16"/>
  <c r="S169" i="16"/>
  <c r="R83" i="16"/>
  <c r="S83" i="16"/>
  <c r="R84" i="16"/>
  <c r="S84" i="16"/>
  <c r="R85" i="16"/>
  <c r="S85" i="16"/>
  <c r="R86" i="16"/>
  <c r="S86" i="16"/>
  <c r="R87" i="16"/>
  <c r="S87" i="16"/>
  <c r="R88" i="16"/>
  <c r="S88" i="16"/>
  <c r="R89" i="16"/>
  <c r="S89" i="16"/>
  <c r="R91" i="16"/>
  <c r="S91" i="16"/>
  <c r="R90" i="16"/>
  <c r="S90" i="16"/>
  <c r="R92" i="16"/>
  <c r="S92" i="16"/>
  <c r="R93" i="16"/>
  <c r="S93" i="16"/>
  <c r="R94" i="16"/>
  <c r="S94" i="16"/>
  <c r="R95" i="16"/>
  <c r="S95" i="16"/>
  <c r="R96" i="16"/>
  <c r="S96" i="16"/>
  <c r="R98" i="16"/>
  <c r="S98" i="16"/>
  <c r="R99" i="16"/>
  <c r="S99" i="16"/>
  <c r="R97" i="16"/>
  <c r="S97" i="16"/>
  <c r="R100" i="16"/>
  <c r="S100" i="16"/>
  <c r="R101" i="16"/>
  <c r="S101" i="16"/>
  <c r="R102" i="16"/>
  <c r="S102" i="16"/>
  <c r="R103" i="16"/>
  <c r="S103" i="16"/>
  <c r="R104" i="16"/>
  <c r="S104" i="16"/>
  <c r="R105" i="16"/>
  <c r="S105" i="16"/>
  <c r="R107" i="16"/>
  <c r="S107" i="16"/>
  <c r="S109" i="16"/>
  <c r="R110" i="16"/>
  <c r="S110" i="16"/>
  <c r="R111" i="16"/>
  <c r="S111" i="16"/>
  <c r="R112" i="16"/>
  <c r="S112" i="16"/>
  <c r="R113" i="16"/>
  <c r="S113" i="16"/>
  <c r="R114" i="16"/>
  <c r="S114" i="16"/>
  <c r="R115" i="16"/>
  <c r="S115" i="16"/>
  <c r="R116" i="16"/>
  <c r="S116" i="16"/>
  <c r="R117" i="16"/>
  <c r="S117" i="16"/>
  <c r="R118" i="16"/>
  <c r="S118" i="16"/>
  <c r="R119" i="16"/>
  <c r="S119" i="16"/>
  <c r="R121" i="16"/>
  <c r="S121" i="16"/>
  <c r="R122" i="16"/>
  <c r="S122" i="16"/>
  <c r="R123" i="16"/>
  <c r="S123" i="16"/>
  <c r="R124" i="16"/>
  <c r="S124" i="16"/>
  <c r="R125" i="16"/>
  <c r="S125" i="16"/>
  <c r="R126" i="16"/>
  <c r="S126" i="16"/>
  <c r="R127" i="16"/>
  <c r="S127" i="16"/>
  <c r="R128" i="16"/>
  <c r="S128" i="16"/>
  <c r="R176" i="16"/>
  <c r="S176" i="16"/>
  <c r="R129" i="16"/>
  <c r="S129" i="16"/>
  <c r="R131" i="16"/>
  <c r="S131" i="16"/>
  <c r="R132" i="16"/>
  <c r="S132" i="16"/>
  <c r="R133" i="16"/>
  <c r="S133" i="16"/>
  <c r="R136" i="16"/>
  <c r="S136" i="16"/>
  <c r="R134" i="16"/>
  <c r="S134" i="16"/>
  <c r="R135" i="16"/>
  <c r="S135" i="16"/>
  <c r="R137" i="16"/>
  <c r="S137" i="16"/>
  <c r="R138" i="16"/>
  <c r="S138" i="16"/>
  <c r="R139" i="16"/>
  <c r="S139" i="16"/>
  <c r="R140" i="16"/>
  <c r="S140" i="16"/>
  <c r="R141" i="16"/>
  <c r="S141" i="16"/>
  <c r="R142" i="16"/>
  <c r="S142" i="16"/>
  <c r="R144" i="16"/>
  <c r="S144" i="16"/>
  <c r="R145" i="16"/>
  <c r="S145" i="16"/>
  <c r="R146" i="16"/>
  <c r="S146" i="16"/>
  <c r="R147" i="16"/>
  <c r="S147" i="16"/>
  <c r="R148" i="16"/>
  <c r="S148" i="16"/>
  <c r="R150" i="16"/>
  <c r="S150" i="16"/>
  <c r="R151" i="16"/>
  <c r="S151" i="16"/>
  <c r="R152" i="16"/>
  <c r="S152" i="16"/>
  <c r="R153" i="16"/>
  <c r="S153" i="16"/>
  <c r="R154" i="16"/>
  <c r="S154" i="16"/>
  <c r="R155" i="16"/>
  <c r="S155" i="16"/>
  <c r="R156" i="16"/>
  <c r="S156" i="16"/>
  <c r="R157" i="16"/>
  <c r="S157" i="16"/>
  <c r="R158" i="16"/>
  <c r="S158" i="16"/>
  <c r="R159" i="16"/>
  <c r="S159" i="16"/>
  <c r="R160" i="16"/>
  <c r="S160" i="16"/>
  <c r="R143" i="16"/>
  <c r="S143" i="16"/>
  <c r="R161" i="16"/>
  <c r="S161" i="16"/>
  <c r="R162" i="16"/>
  <c r="S162" i="16"/>
  <c r="R163" i="16"/>
  <c r="S163" i="16"/>
  <c r="R164" i="16"/>
  <c r="S164" i="16"/>
  <c r="R165" i="16"/>
  <c r="S165" i="16"/>
  <c r="R166" i="16"/>
  <c r="S166" i="16"/>
  <c r="R167" i="16"/>
  <c r="S167" i="16"/>
  <c r="R168" i="16"/>
  <c r="S168" i="16"/>
  <c r="R171" i="16"/>
  <c r="S171" i="16"/>
  <c r="R170" i="16"/>
  <c r="S170" i="16"/>
  <c r="R75" i="16"/>
  <c r="S75" i="16"/>
  <c r="R179" i="16"/>
  <c r="S179" i="16"/>
  <c r="R172" i="16"/>
  <c r="S172" i="16"/>
  <c r="R173" i="16"/>
  <c r="S173" i="16"/>
  <c r="R174" i="16"/>
  <c r="S174" i="16"/>
  <c r="R175" i="16"/>
  <c r="S175" i="16"/>
  <c r="R177" i="16"/>
  <c r="S177" i="16"/>
  <c r="R178" i="16"/>
  <c r="S178" i="16"/>
  <c r="R180" i="16"/>
  <c r="S180" i="16"/>
  <c r="R181" i="16"/>
  <c r="S181" i="16"/>
  <c r="R182" i="16"/>
  <c r="S182" i="16"/>
  <c r="R183" i="16"/>
  <c r="S183" i="16"/>
  <c r="R184" i="16"/>
  <c r="S184" i="16"/>
  <c r="R185" i="16"/>
  <c r="S185" i="16"/>
  <c r="R186" i="16"/>
  <c r="S186" i="16"/>
  <c r="R187" i="16"/>
  <c r="S187" i="16"/>
  <c r="R188" i="16"/>
  <c r="S188" i="16"/>
  <c r="R189" i="16"/>
  <c r="S189" i="16"/>
  <c r="R190" i="16"/>
  <c r="S190" i="16"/>
  <c r="R191" i="16"/>
  <c r="S191" i="16"/>
  <c r="R192" i="16"/>
  <c r="S192" i="16"/>
  <c r="R194" i="16"/>
  <c r="S194" i="16"/>
  <c r="R197" i="16"/>
  <c r="S197" i="16"/>
  <c r="R195" i="16"/>
  <c r="S195" i="16"/>
  <c r="R196" i="16"/>
  <c r="S196" i="16"/>
  <c r="R198" i="16"/>
  <c r="S198" i="16"/>
  <c r="R199" i="16"/>
  <c r="S199" i="16"/>
  <c r="R200" i="16"/>
  <c r="S200" i="16"/>
  <c r="R201" i="16"/>
  <c r="S201" i="16"/>
  <c r="R202" i="16"/>
  <c r="S202" i="16"/>
  <c r="R203" i="16"/>
  <c r="S203" i="16"/>
  <c r="R204" i="16"/>
  <c r="S204" i="16"/>
  <c r="R206" i="16"/>
  <c r="S206" i="16"/>
  <c r="R207" i="16"/>
  <c r="S207" i="16"/>
  <c r="R208" i="16"/>
  <c r="S208" i="16"/>
  <c r="R209" i="16"/>
  <c r="S209" i="16"/>
  <c r="R225" i="16"/>
  <c r="S225" i="16"/>
  <c r="R210" i="16"/>
  <c r="S210" i="16"/>
  <c r="R211" i="16"/>
  <c r="S211" i="16"/>
  <c r="R212" i="16"/>
  <c r="S212" i="16"/>
  <c r="R213" i="16"/>
  <c r="S213" i="16"/>
  <c r="R214" i="16"/>
  <c r="S214" i="16"/>
  <c r="R215" i="16"/>
  <c r="S215" i="16"/>
  <c r="R216" i="16"/>
  <c r="S216" i="16"/>
  <c r="R217" i="16"/>
  <c r="S217" i="16"/>
  <c r="R218" i="16"/>
  <c r="S218" i="16"/>
  <c r="R219" i="16"/>
  <c r="S219" i="16"/>
  <c r="R220" i="16"/>
  <c r="S220" i="16"/>
  <c r="R221" i="16"/>
  <c r="S221" i="16"/>
  <c r="R222" i="16"/>
  <c r="S222" i="16"/>
  <c r="R223" i="16"/>
  <c r="S223" i="16"/>
  <c r="R224" i="16"/>
  <c r="S224" i="16"/>
  <c r="R226" i="16"/>
  <c r="S226" i="16"/>
  <c r="R227" i="16"/>
  <c r="S227" i="16"/>
  <c r="R228" i="16"/>
  <c r="S228" i="16"/>
  <c r="R229" i="16"/>
  <c r="S229" i="16"/>
  <c r="R230" i="16"/>
  <c r="S230" i="16"/>
  <c r="R231" i="16"/>
  <c r="S231" i="16"/>
  <c r="R232" i="16"/>
  <c r="S232" i="16"/>
  <c r="R233" i="16"/>
  <c r="S233" i="16"/>
  <c r="R235" i="16"/>
  <c r="S235" i="16"/>
  <c r="R236" i="16"/>
  <c r="S236" i="16"/>
  <c r="R237" i="16"/>
  <c r="S237" i="16"/>
  <c r="R238" i="16"/>
  <c r="S238" i="16"/>
  <c r="R240" i="16"/>
  <c r="S240" i="16"/>
  <c r="R241" i="16"/>
  <c r="S241" i="16"/>
  <c r="R242" i="16"/>
  <c r="S242" i="16"/>
  <c r="R244" i="16"/>
  <c r="S244" i="16"/>
  <c r="R243" i="16"/>
  <c r="S243" i="16"/>
  <c r="R245" i="16"/>
  <c r="S245" i="16"/>
  <c r="R246" i="16"/>
  <c r="S246" i="16"/>
  <c r="R247" i="16"/>
  <c r="S247" i="16"/>
  <c r="R248" i="16"/>
  <c r="S248" i="16"/>
  <c r="R250" i="16"/>
  <c r="S250" i="16"/>
  <c r="R251" i="16"/>
  <c r="S251" i="16"/>
  <c r="R252" i="16"/>
  <c r="S252" i="16"/>
  <c r="R254" i="16"/>
  <c r="S254" i="16"/>
  <c r="R255" i="16"/>
  <c r="S255" i="16"/>
  <c r="R256" i="16"/>
  <c r="S256" i="16"/>
  <c r="R257" i="16"/>
  <c r="S257" i="16"/>
  <c r="R258" i="16"/>
  <c r="S258" i="16"/>
  <c r="R259" i="16"/>
  <c r="S259" i="16"/>
  <c r="R260" i="16"/>
  <c r="S260" i="16"/>
  <c r="R261" i="16"/>
  <c r="S261" i="16"/>
  <c r="R262" i="16"/>
  <c r="S262" i="16"/>
  <c r="R263" i="16"/>
  <c r="S263" i="16"/>
  <c r="R264" i="16"/>
  <c r="S264" i="16"/>
  <c r="R266" i="16"/>
  <c r="S266" i="16"/>
  <c r="R268" i="16"/>
  <c r="S268" i="16"/>
  <c r="R267" i="16"/>
  <c r="S267" i="16"/>
  <c r="R269" i="16"/>
  <c r="S269" i="16"/>
  <c r="R270" i="16"/>
  <c r="S270" i="16"/>
  <c r="R271" i="16"/>
  <c r="S271" i="16"/>
  <c r="R272" i="16"/>
  <c r="S272" i="16"/>
  <c r="R273" i="16"/>
  <c r="S273" i="16"/>
  <c r="R274" i="16"/>
  <c r="S274" i="16"/>
  <c r="R275" i="16"/>
  <c r="S275" i="16"/>
  <c r="R276" i="16"/>
  <c r="S276" i="16"/>
  <c r="R277" i="16"/>
  <c r="S277" i="16"/>
  <c r="R278" i="16"/>
  <c r="S278" i="16"/>
  <c r="R279" i="16"/>
  <c r="S279" i="16"/>
  <c r="R280" i="16"/>
  <c r="S280" i="16"/>
  <c r="R281" i="16"/>
  <c r="S281" i="16"/>
  <c r="R282" i="16"/>
  <c r="S282" i="16"/>
  <c r="R283" i="16"/>
  <c r="S283" i="16"/>
  <c r="R284" i="16"/>
  <c r="S284" i="16"/>
  <c r="R285" i="16"/>
  <c r="S285" i="16"/>
  <c r="R286" i="16"/>
  <c r="S286" i="16"/>
  <c r="R287" i="16"/>
  <c r="S287" i="16"/>
  <c r="R288" i="16"/>
  <c r="S288" i="16"/>
  <c r="S14" i="16"/>
  <c r="R14" i="16"/>
  <c r="T344" i="16"/>
  <c r="T343" i="16"/>
  <c r="T342" i="16"/>
  <c r="T341" i="16"/>
  <c r="T340" i="16"/>
  <c r="T339" i="16"/>
  <c r="T338" i="16"/>
  <c r="T332" i="16"/>
  <c r="T337" i="16"/>
  <c r="T336" i="16"/>
  <c r="T335" i="16"/>
  <c r="T334" i="16"/>
  <c r="T333" i="16"/>
  <c r="T331" i="16"/>
  <c r="T330" i="16"/>
  <c r="T329" i="16"/>
  <c r="T328" i="16"/>
  <c r="T327" i="16"/>
  <c r="T326" i="16"/>
  <c r="T325" i="16"/>
  <c r="T324" i="16"/>
  <c r="T323" i="16"/>
  <c r="T322" i="16"/>
  <c r="T321" i="16"/>
  <c r="T320" i="16"/>
  <c r="T319" i="16"/>
  <c r="T318" i="16"/>
  <c r="T317" i="16"/>
  <c r="T316" i="16"/>
  <c r="T315" i="16"/>
  <c r="T314" i="16"/>
  <c r="T313" i="16"/>
  <c r="T312" i="16"/>
  <c r="T311" i="16"/>
  <c r="T310" i="16"/>
  <c r="T309" i="16"/>
  <c r="T308" i="16"/>
  <c r="T307" i="16"/>
  <c r="T306" i="16"/>
  <c r="T305" i="16"/>
  <c r="T304" i="16"/>
  <c r="T303" i="16"/>
  <c r="T302" i="16"/>
  <c r="T301" i="16"/>
  <c r="T300" i="16"/>
  <c r="T299" i="16"/>
  <c r="T298" i="16"/>
  <c r="T297" i="16"/>
  <c r="T296" i="16"/>
  <c r="T295" i="16"/>
  <c r="T294" i="16"/>
  <c r="T293" i="16"/>
  <c r="T292" i="16"/>
  <c r="T291" i="16"/>
  <c r="T290" i="16"/>
  <c r="T289" i="16"/>
  <c r="T288" i="16"/>
  <c r="T287" i="16"/>
  <c r="T286" i="16"/>
  <c r="T285" i="16"/>
  <c r="T284" i="16"/>
  <c r="T283" i="16"/>
  <c r="T282" i="16"/>
  <c r="T281" i="16"/>
  <c r="T280" i="16"/>
  <c r="T279" i="16"/>
  <c r="T278" i="16"/>
  <c r="T277" i="16"/>
  <c r="T276" i="16"/>
  <c r="T275" i="16"/>
  <c r="T274" i="16"/>
  <c r="T273" i="16"/>
  <c r="T272" i="16"/>
  <c r="T271" i="16"/>
  <c r="T270" i="16"/>
  <c r="T269" i="16"/>
  <c r="T267" i="16"/>
  <c r="T268" i="16"/>
  <c r="T266" i="16"/>
  <c r="T264" i="16"/>
  <c r="T263" i="16"/>
  <c r="T262" i="16"/>
  <c r="T261" i="16"/>
  <c r="T260" i="16"/>
  <c r="T259" i="16"/>
  <c r="T258" i="16"/>
  <c r="T257" i="16"/>
  <c r="T256" i="16"/>
  <c r="T255" i="16"/>
  <c r="T254" i="16"/>
  <c r="T252" i="16"/>
  <c r="T251" i="16"/>
  <c r="T250" i="16"/>
  <c r="T248" i="16"/>
  <c r="T247" i="16"/>
  <c r="T246" i="16"/>
  <c r="T245" i="16"/>
  <c r="T243" i="16"/>
  <c r="T244" i="16"/>
  <c r="T242" i="16"/>
  <c r="T241" i="16"/>
  <c r="T240" i="16"/>
  <c r="T238" i="16"/>
  <c r="T237" i="16"/>
  <c r="T236" i="16"/>
  <c r="T235" i="16"/>
  <c r="T233" i="16"/>
  <c r="T232" i="16"/>
  <c r="T231" i="16"/>
  <c r="T230" i="16"/>
  <c r="T229" i="16"/>
  <c r="T228" i="16"/>
  <c r="T227" i="16"/>
  <c r="T226" i="16"/>
  <c r="T224" i="16"/>
  <c r="T223" i="16"/>
  <c r="T222" i="16"/>
  <c r="T221" i="16"/>
  <c r="T220" i="16"/>
  <c r="T219" i="16"/>
  <c r="T218" i="16"/>
  <c r="T217" i="16"/>
  <c r="T216" i="16"/>
  <c r="T215" i="16"/>
  <c r="T214" i="16"/>
  <c r="T213" i="16"/>
  <c r="T212" i="16"/>
  <c r="T211" i="16"/>
  <c r="T210" i="16"/>
  <c r="T225" i="16"/>
  <c r="T209" i="16"/>
  <c r="T208" i="16"/>
  <c r="T207" i="16"/>
  <c r="T206" i="16"/>
  <c r="T204" i="16"/>
  <c r="T203" i="16"/>
  <c r="T202" i="16"/>
  <c r="T201" i="16"/>
  <c r="T200" i="16"/>
  <c r="T199" i="16"/>
  <c r="T198" i="16"/>
  <c r="T196" i="16"/>
  <c r="T195" i="16"/>
  <c r="T197" i="16"/>
  <c r="T194" i="16"/>
  <c r="T192" i="16"/>
  <c r="T191" i="16"/>
  <c r="T190" i="16"/>
  <c r="T189" i="16"/>
  <c r="T188" i="16"/>
  <c r="T187" i="16"/>
  <c r="T186" i="16"/>
  <c r="T185" i="16"/>
  <c r="T184" i="16"/>
  <c r="T183" i="16"/>
  <c r="T182" i="16"/>
  <c r="T181" i="16"/>
  <c r="T180" i="16"/>
  <c r="T178" i="16"/>
  <c r="T177" i="16"/>
  <c r="T175" i="16"/>
  <c r="T174" i="16"/>
  <c r="T173" i="16"/>
  <c r="T172" i="16"/>
  <c r="T179" i="16"/>
  <c r="T75" i="16"/>
  <c r="T170" i="16"/>
  <c r="T171" i="16"/>
  <c r="T168" i="16"/>
  <c r="T167" i="16"/>
  <c r="T166" i="16"/>
  <c r="T165" i="16"/>
  <c r="T164" i="16"/>
  <c r="T163" i="16"/>
  <c r="T162" i="16"/>
  <c r="T161" i="16"/>
  <c r="T143" i="16"/>
  <c r="T160" i="16"/>
  <c r="T159" i="16"/>
  <c r="T158" i="16"/>
  <c r="T157" i="16"/>
  <c r="T156" i="16"/>
  <c r="T155" i="16"/>
  <c r="T154" i="16"/>
  <c r="T153" i="16"/>
  <c r="T152" i="16"/>
  <c r="T151" i="16"/>
  <c r="T150" i="16"/>
  <c r="T148" i="16"/>
  <c r="T147" i="16"/>
  <c r="T146" i="16"/>
  <c r="T145" i="16"/>
  <c r="T144" i="16"/>
  <c r="T142" i="16"/>
  <c r="T141" i="16"/>
  <c r="T140" i="16"/>
  <c r="T139" i="16"/>
  <c r="T138" i="16"/>
  <c r="T137" i="16"/>
  <c r="T135" i="16"/>
  <c r="T136" i="16"/>
  <c r="T133" i="16"/>
  <c r="T132" i="16"/>
  <c r="T131" i="16"/>
  <c r="T129" i="16"/>
  <c r="T176" i="16"/>
  <c r="T128" i="16"/>
  <c r="T127" i="16"/>
  <c r="T126" i="16"/>
  <c r="T125" i="16"/>
  <c r="T124" i="16"/>
  <c r="T123" i="16"/>
  <c r="T122" i="16"/>
  <c r="T121" i="16"/>
  <c r="T119" i="16"/>
  <c r="T118" i="16"/>
  <c r="T117" i="16"/>
  <c r="T116" i="16"/>
  <c r="T115" i="16"/>
  <c r="T114" i="16"/>
  <c r="T113" i="16"/>
  <c r="T112" i="16"/>
  <c r="T111" i="16"/>
  <c r="T110" i="16"/>
  <c r="T107" i="16"/>
  <c r="T105" i="16"/>
  <c r="T104" i="16"/>
  <c r="T103" i="16"/>
  <c r="T102" i="16"/>
  <c r="T101" i="16"/>
  <c r="T100" i="16"/>
  <c r="T97" i="16"/>
  <c r="T99" i="16"/>
  <c r="T98" i="16"/>
  <c r="T96" i="16"/>
  <c r="T95" i="16"/>
  <c r="T94" i="16"/>
  <c r="T93" i="16"/>
  <c r="T92" i="16"/>
  <c r="T90" i="16"/>
  <c r="T91" i="16"/>
  <c r="T89" i="16"/>
  <c r="T88" i="16"/>
  <c r="T87" i="16"/>
  <c r="T86" i="16"/>
  <c r="T85" i="16"/>
  <c r="T84" i="16"/>
  <c r="T83" i="16"/>
  <c r="T169" i="16"/>
  <c r="T82" i="16"/>
  <c r="T81" i="16"/>
  <c r="T80" i="16"/>
  <c r="T79" i="16"/>
  <c r="T78" i="16"/>
  <c r="T77" i="16"/>
  <c r="T76" i="16"/>
  <c r="T74" i="16"/>
  <c r="T73" i="16"/>
  <c r="T72" i="16"/>
  <c r="T71" i="16"/>
  <c r="T70" i="16"/>
  <c r="T69" i="16"/>
  <c r="T68" i="16"/>
  <c r="T66" i="16"/>
  <c r="T65" i="16"/>
  <c r="T63" i="16"/>
  <c r="T62" i="16"/>
  <c r="T61" i="16"/>
  <c r="T60" i="16"/>
  <c r="T59" i="16"/>
  <c r="T58" i="16"/>
  <c r="T57" i="16"/>
  <c r="T56" i="16"/>
  <c r="T55" i="16"/>
  <c r="T54" i="16"/>
  <c r="T53" i="16"/>
  <c r="T52" i="16"/>
  <c r="T51" i="16"/>
  <c r="T49" i="16"/>
  <c r="T48" i="16"/>
  <c r="T47" i="16"/>
  <c r="T46" i="16"/>
  <c r="T45" i="16"/>
  <c r="T44" i="16"/>
  <c r="T43" i="16"/>
  <c r="T42" i="16"/>
  <c r="T41" i="16"/>
  <c r="T40" i="16"/>
  <c r="T39" i="16"/>
  <c r="T38" i="16"/>
  <c r="T37" i="16"/>
  <c r="T36" i="16"/>
  <c r="T35" i="16"/>
  <c r="T34" i="16"/>
  <c r="T33" i="16"/>
  <c r="T32" i="16"/>
  <c r="T31" i="16"/>
  <c r="T30" i="16"/>
  <c r="T29" i="16"/>
  <c r="T28" i="16"/>
  <c r="T27" i="16"/>
  <c r="T26" i="16"/>
  <c r="T25" i="16"/>
  <c r="T24" i="16"/>
  <c r="T23" i="16"/>
  <c r="T22" i="16"/>
  <c r="T21" i="16"/>
  <c r="T20" i="16"/>
  <c r="T19" i="16"/>
  <c r="T18" i="16"/>
  <c r="T16" i="16"/>
  <c r="T15" i="16"/>
  <c r="T14" i="16"/>
  <c r="I272" i="15"/>
  <c r="M110" i="15"/>
  <c r="K110" i="15"/>
  <c r="I110" i="15"/>
  <c r="G110" i="15"/>
  <c r="I39" i="15"/>
  <c r="M69" i="15"/>
  <c r="K69" i="15"/>
  <c r="I146" i="15"/>
  <c r="G146" i="15"/>
  <c r="G177" i="15"/>
  <c r="I177" i="15"/>
  <c r="R109" i="16" l="1"/>
  <c r="T134" i="16"/>
  <c r="T17" i="16"/>
  <c r="T64" i="16"/>
  <c r="T67" i="16"/>
  <c r="T109" i="16"/>
  <c r="G185" i="15"/>
  <c r="G82" i="15" l="1"/>
  <c r="G135" i="15"/>
  <c r="I135" i="15" l="1"/>
  <c r="I201" i="15" l="1"/>
  <c r="G39" i="15"/>
  <c r="I157" i="15" l="1"/>
  <c r="G272" i="15" l="1"/>
  <c r="T248" i="15"/>
  <c r="S248" i="15"/>
  <c r="R248" i="15"/>
  <c r="Q248" i="15"/>
  <c r="T28" i="15"/>
  <c r="S28" i="15"/>
  <c r="R28" i="15"/>
  <c r="Q28" i="15"/>
  <c r="G17" i="15" l="1"/>
  <c r="G213" i="15"/>
  <c r="I69" i="15" l="1"/>
  <c r="G69" i="15"/>
  <c r="G66" i="15"/>
  <c r="G201" i="15" l="1"/>
  <c r="G217" i="15"/>
  <c r="G242" i="15"/>
  <c r="G255" i="15"/>
  <c r="G223" i="15"/>
  <c r="G274" i="15"/>
  <c r="G38" i="15" l="1"/>
  <c r="G239" i="15" l="1"/>
  <c r="T275" i="15" l="1"/>
  <c r="S275" i="15"/>
  <c r="R275" i="15"/>
  <c r="Q275" i="15"/>
  <c r="T266" i="15"/>
  <c r="S266" i="15"/>
  <c r="R266" i="15"/>
  <c r="Q266" i="15"/>
  <c r="T238" i="15"/>
  <c r="S238" i="15"/>
  <c r="R238" i="15"/>
  <c r="Q238" i="15"/>
  <c r="T218" i="15"/>
  <c r="S218" i="15"/>
  <c r="R218" i="15"/>
  <c r="Q218" i="15"/>
  <c r="T212" i="15"/>
  <c r="S212" i="15"/>
  <c r="R212" i="15"/>
  <c r="Q212" i="15"/>
  <c r="T187" i="15"/>
  <c r="S187" i="15"/>
  <c r="R187" i="15"/>
  <c r="Q187" i="15"/>
  <c r="T169" i="15"/>
  <c r="S169" i="15"/>
  <c r="R169" i="15"/>
  <c r="Q169" i="15"/>
  <c r="T133" i="15"/>
  <c r="S133" i="15"/>
  <c r="R133" i="15"/>
  <c r="Q133" i="15"/>
  <c r="T98" i="15"/>
  <c r="S98" i="15"/>
  <c r="R98" i="15"/>
  <c r="Q98" i="15"/>
  <c r="T38" i="15"/>
  <c r="S38" i="15"/>
  <c r="R38" i="15"/>
  <c r="Q38" i="15"/>
  <c r="G304" i="15"/>
  <c r="S282" i="15" l="1"/>
  <c r="S281" i="15"/>
  <c r="S280" i="15"/>
  <c r="S279" i="15"/>
  <c r="S278" i="15"/>
  <c r="S277" i="15"/>
  <c r="S276" i="15"/>
  <c r="S274" i="15"/>
  <c r="S273" i="15"/>
  <c r="S272" i="15"/>
  <c r="S271" i="15"/>
  <c r="S270" i="15"/>
  <c r="S269" i="15"/>
  <c r="S268" i="15"/>
  <c r="S267" i="15"/>
  <c r="S265" i="15"/>
  <c r="S264" i="15"/>
  <c r="S263" i="15"/>
  <c r="S262" i="15"/>
  <c r="S261" i="15"/>
  <c r="S260" i="15"/>
  <c r="S259" i="15"/>
  <c r="S258" i="15"/>
  <c r="S257" i="15"/>
  <c r="S256" i="15"/>
  <c r="S255" i="15"/>
  <c r="S254" i="15"/>
  <c r="S253" i="15"/>
  <c r="S252" i="15"/>
  <c r="S251" i="15"/>
  <c r="S250" i="15"/>
  <c r="S249" i="15"/>
  <c r="S247" i="15"/>
  <c r="S246" i="15"/>
  <c r="S245" i="15"/>
  <c r="S244" i="15"/>
  <c r="S243" i="15"/>
  <c r="S242" i="15"/>
  <c r="S241" i="15"/>
  <c r="S240" i="15"/>
  <c r="S239" i="15"/>
  <c r="S237" i="15"/>
  <c r="S236" i="15"/>
  <c r="S235" i="15"/>
  <c r="S234" i="15"/>
  <c r="S233" i="15"/>
  <c r="S232" i="15"/>
  <c r="S231" i="15"/>
  <c r="S230" i="15"/>
  <c r="S229" i="15"/>
  <c r="S228" i="15"/>
  <c r="S227" i="15"/>
  <c r="S226" i="15"/>
  <c r="S225" i="15"/>
  <c r="S224" i="15"/>
  <c r="S223" i="15"/>
  <c r="S222" i="15"/>
  <c r="S221" i="15"/>
  <c r="S220" i="15"/>
  <c r="S219" i="15"/>
  <c r="S217" i="15"/>
  <c r="S216" i="15"/>
  <c r="S215" i="15"/>
  <c r="S214" i="15"/>
  <c r="S213" i="15"/>
  <c r="S211" i="15"/>
  <c r="S210" i="15"/>
  <c r="S209" i="15"/>
  <c r="S208" i="15"/>
  <c r="S207" i="15"/>
  <c r="S206" i="15"/>
  <c r="S205" i="15"/>
  <c r="S204" i="15"/>
  <c r="S203" i="15"/>
  <c r="S202" i="15"/>
  <c r="S201" i="15"/>
  <c r="S200" i="15"/>
  <c r="S199" i="15"/>
  <c r="S198" i="15"/>
  <c r="S197" i="15"/>
  <c r="S196" i="15"/>
  <c r="S195" i="15"/>
  <c r="S194" i="15"/>
  <c r="S193" i="15"/>
  <c r="S192" i="15"/>
  <c r="S191" i="15"/>
  <c r="S190" i="15"/>
  <c r="S189" i="15"/>
  <c r="S188" i="15"/>
  <c r="S186" i="15"/>
  <c r="S185" i="15"/>
  <c r="S184" i="15"/>
  <c r="S183" i="15"/>
  <c r="S182" i="15"/>
  <c r="S181" i="15"/>
  <c r="S180" i="15"/>
  <c r="S179" i="15"/>
  <c r="S178" i="15"/>
  <c r="S177" i="15"/>
  <c r="S176" i="15"/>
  <c r="S175" i="15"/>
  <c r="S174" i="15"/>
  <c r="S173" i="15"/>
  <c r="S172" i="15"/>
  <c r="S171" i="15"/>
  <c r="S170" i="15"/>
  <c r="S168" i="15"/>
  <c r="S167" i="15"/>
  <c r="S166" i="15"/>
  <c r="S165" i="15"/>
  <c r="S164" i="15"/>
  <c r="S163" i="15"/>
  <c r="S162" i="15"/>
  <c r="S161" i="15"/>
  <c r="S160" i="15"/>
  <c r="S159" i="15"/>
  <c r="S158" i="15"/>
  <c r="S157" i="15"/>
  <c r="S156" i="15"/>
  <c r="S155" i="15"/>
  <c r="S154" i="15"/>
  <c r="S153" i="15"/>
  <c r="S152" i="15"/>
  <c r="S151" i="15"/>
  <c r="S150" i="15"/>
  <c r="S149" i="15"/>
  <c r="S148" i="15"/>
  <c r="S147" i="15"/>
  <c r="S146" i="15"/>
  <c r="S145" i="15"/>
  <c r="S144" i="15"/>
  <c r="S143" i="15"/>
  <c r="S142" i="15"/>
  <c r="S141" i="15"/>
  <c r="S140" i="15"/>
  <c r="S139" i="15"/>
  <c r="S138" i="15"/>
  <c r="S137" i="15"/>
  <c r="S136" i="15"/>
  <c r="S135" i="15"/>
  <c r="S134" i="15"/>
  <c r="S132" i="15"/>
  <c r="S131" i="15"/>
  <c r="S130" i="15"/>
  <c r="S129" i="15"/>
  <c r="S128" i="15"/>
  <c r="S127" i="15"/>
  <c r="S126" i="15"/>
  <c r="S125" i="15"/>
  <c r="S124" i="15"/>
  <c r="S123" i="15"/>
  <c r="S122" i="15"/>
  <c r="S121" i="15"/>
  <c r="S120" i="15"/>
  <c r="S119" i="15"/>
  <c r="S118" i="15"/>
  <c r="S117" i="15"/>
  <c r="S116" i="15"/>
  <c r="S115" i="15"/>
  <c r="S114" i="15"/>
  <c r="S113" i="15"/>
  <c r="S112" i="15"/>
  <c r="S111" i="15"/>
  <c r="S109" i="15"/>
  <c r="S108" i="15"/>
  <c r="S107" i="15"/>
  <c r="S106" i="15"/>
  <c r="S105" i="15"/>
  <c r="S104" i="15"/>
  <c r="S103" i="15"/>
  <c r="S102" i="15"/>
  <c r="S101" i="15"/>
  <c r="S100" i="15"/>
  <c r="S99" i="15"/>
  <c r="S97" i="15"/>
  <c r="S96" i="15"/>
  <c r="S95" i="15"/>
  <c r="S93" i="15"/>
  <c r="S94" i="15"/>
  <c r="S92" i="15"/>
  <c r="S91" i="15"/>
  <c r="S90" i="15"/>
  <c r="S89" i="15"/>
  <c r="S88" i="15"/>
  <c r="S87" i="15"/>
  <c r="S86" i="15"/>
  <c r="S85" i="15"/>
  <c r="S84" i="15"/>
  <c r="S83" i="15"/>
  <c r="S82" i="15"/>
  <c r="S81" i="15"/>
  <c r="S80" i="15"/>
  <c r="S79" i="15"/>
  <c r="S78" i="15"/>
  <c r="S77" i="15"/>
  <c r="S76" i="15"/>
  <c r="S75" i="15"/>
  <c r="S74" i="15"/>
  <c r="S73" i="15"/>
  <c r="S72" i="15"/>
  <c r="S71" i="15"/>
  <c r="S70" i="15"/>
  <c r="S69" i="15"/>
  <c r="S68" i="15"/>
  <c r="S67" i="15"/>
  <c r="S66" i="15"/>
  <c r="S65" i="15"/>
  <c r="S64" i="15"/>
  <c r="S63" i="15"/>
  <c r="S62" i="15"/>
  <c r="S61" i="15"/>
  <c r="S60" i="15"/>
  <c r="S59" i="15"/>
  <c r="S58" i="15"/>
  <c r="S57" i="15"/>
  <c r="S56" i="15"/>
  <c r="S55" i="15"/>
  <c r="S54" i="15"/>
  <c r="S53" i="15"/>
  <c r="S52" i="15"/>
  <c r="S51" i="15"/>
  <c r="S50" i="15"/>
  <c r="S49" i="15"/>
  <c r="S48" i="15"/>
  <c r="S47" i="15"/>
  <c r="S46" i="15"/>
  <c r="S45" i="15"/>
  <c r="S44" i="15"/>
  <c r="S43" i="15"/>
  <c r="S42" i="15"/>
  <c r="S41" i="15"/>
  <c r="S40" i="15"/>
  <c r="S39" i="15"/>
  <c r="S37" i="15"/>
  <c r="S36" i="15"/>
  <c r="S35" i="15"/>
  <c r="S34" i="15"/>
  <c r="S33" i="15"/>
  <c r="S32" i="15"/>
  <c r="S31" i="15"/>
  <c r="S30" i="15"/>
  <c r="S29" i="15"/>
  <c r="S27" i="15"/>
  <c r="S26" i="15"/>
  <c r="S25" i="15"/>
  <c r="S24" i="15"/>
  <c r="S23" i="15"/>
  <c r="S22" i="15"/>
  <c r="S21" i="15"/>
  <c r="S20" i="15"/>
  <c r="S19" i="15"/>
  <c r="S18" i="15"/>
  <c r="S17" i="15"/>
  <c r="S16" i="15"/>
  <c r="S15" i="15"/>
  <c r="S14" i="15"/>
  <c r="R282" i="15"/>
  <c r="R281" i="15"/>
  <c r="R280" i="15"/>
  <c r="R279" i="15"/>
  <c r="R278" i="15"/>
  <c r="R277" i="15"/>
  <c r="R276" i="15"/>
  <c r="R274" i="15"/>
  <c r="R273" i="15"/>
  <c r="R272" i="15"/>
  <c r="R271" i="15"/>
  <c r="R270" i="15"/>
  <c r="R269" i="15"/>
  <c r="R268" i="15"/>
  <c r="R267" i="15"/>
  <c r="R265" i="15"/>
  <c r="R264" i="15"/>
  <c r="R263" i="15"/>
  <c r="R262" i="15"/>
  <c r="R261" i="15"/>
  <c r="R260" i="15"/>
  <c r="R259" i="15"/>
  <c r="R258" i="15"/>
  <c r="R257" i="15"/>
  <c r="R256" i="15"/>
  <c r="R255" i="15"/>
  <c r="R254" i="15"/>
  <c r="R253" i="15"/>
  <c r="R252" i="15"/>
  <c r="R251" i="15"/>
  <c r="R250" i="15"/>
  <c r="R249" i="15"/>
  <c r="R247" i="15"/>
  <c r="R246" i="15"/>
  <c r="R245" i="15"/>
  <c r="R244" i="15"/>
  <c r="R243" i="15"/>
  <c r="R242" i="15"/>
  <c r="R241" i="15"/>
  <c r="R240" i="15"/>
  <c r="R239" i="15"/>
  <c r="R237" i="15"/>
  <c r="R236" i="15"/>
  <c r="R235" i="15"/>
  <c r="R234" i="15"/>
  <c r="R233" i="15"/>
  <c r="R232" i="15"/>
  <c r="R231" i="15"/>
  <c r="R230" i="15"/>
  <c r="R229" i="15"/>
  <c r="R228" i="15"/>
  <c r="R227" i="15"/>
  <c r="R226" i="15"/>
  <c r="R225" i="15"/>
  <c r="R224" i="15"/>
  <c r="R223" i="15"/>
  <c r="R222" i="15"/>
  <c r="R221" i="15"/>
  <c r="R220" i="15"/>
  <c r="R219" i="15"/>
  <c r="R217" i="15"/>
  <c r="R216" i="15"/>
  <c r="R215" i="15"/>
  <c r="R214" i="15"/>
  <c r="R213" i="15"/>
  <c r="R211" i="15"/>
  <c r="R210" i="15"/>
  <c r="R209" i="15"/>
  <c r="R208" i="15"/>
  <c r="R207" i="15"/>
  <c r="R206" i="15"/>
  <c r="R205" i="15"/>
  <c r="R204" i="15"/>
  <c r="R203" i="15"/>
  <c r="R202" i="15"/>
  <c r="R201" i="15"/>
  <c r="R200" i="15"/>
  <c r="R199" i="15"/>
  <c r="R198" i="15"/>
  <c r="R197" i="15"/>
  <c r="R196" i="15"/>
  <c r="R195" i="15"/>
  <c r="R194" i="15"/>
  <c r="R193" i="15"/>
  <c r="R192" i="15"/>
  <c r="R191" i="15"/>
  <c r="R190" i="15"/>
  <c r="R189" i="15"/>
  <c r="R188" i="15"/>
  <c r="R186" i="15"/>
  <c r="R185" i="15"/>
  <c r="R184" i="15"/>
  <c r="R183" i="15"/>
  <c r="R182" i="15"/>
  <c r="R181" i="15"/>
  <c r="R180" i="15"/>
  <c r="R179" i="15"/>
  <c r="R178" i="15"/>
  <c r="R177" i="15"/>
  <c r="R176" i="15"/>
  <c r="R175" i="15"/>
  <c r="R174" i="15"/>
  <c r="R173" i="15"/>
  <c r="R172" i="15"/>
  <c r="R171" i="15"/>
  <c r="R170" i="15"/>
  <c r="R168" i="15"/>
  <c r="R167" i="15"/>
  <c r="R166" i="15"/>
  <c r="R165" i="15"/>
  <c r="R164" i="15"/>
  <c r="R163" i="15"/>
  <c r="R162" i="15"/>
  <c r="R161" i="15"/>
  <c r="R160" i="15"/>
  <c r="R159" i="15"/>
  <c r="R158" i="15"/>
  <c r="R157" i="15"/>
  <c r="R156" i="15"/>
  <c r="R155" i="15"/>
  <c r="R154" i="15"/>
  <c r="R153" i="15"/>
  <c r="R152" i="15"/>
  <c r="R151" i="15"/>
  <c r="R150" i="15"/>
  <c r="R149" i="15"/>
  <c r="R148" i="15"/>
  <c r="R147" i="15"/>
  <c r="R146" i="15"/>
  <c r="R145" i="15"/>
  <c r="R144" i="15"/>
  <c r="R143" i="15"/>
  <c r="R142" i="15"/>
  <c r="R141" i="15"/>
  <c r="R140" i="15"/>
  <c r="R139" i="15"/>
  <c r="R138" i="15"/>
  <c r="R137" i="15"/>
  <c r="R136" i="15"/>
  <c r="R135" i="15"/>
  <c r="R134" i="15"/>
  <c r="R132" i="15"/>
  <c r="R131" i="15"/>
  <c r="R130" i="15"/>
  <c r="R129" i="15"/>
  <c r="R128" i="15"/>
  <c r="R127" i="15"/>
  <c r="R126" i="15"/>
  <c r="R125" i="15"/>
  <c r="R124" i="15"/>
  <c r="R123" i="15"/>
  <c r="R122" i="15"/>
  <c r="R121" i="15"/>
  <c r="R120" i="15"/>
  <c r="R119" i="15"/>
  <c r="R118" i="15"/>
  <c r="R117" i="15"/>
  <c r="R116" i="15"/>
  <c r="R115" i="15"/>
  <c r="R114" i="15"/>
  <c r="R113" i="15"/>
  <c r="R112" i="15"/>
  <c r="R111" i="15"/>
  <c r="R109" i="15"/>
  <c r="R108" i="15"/>
  <c r="R107" i="15"/>
  <c r="R106" i="15"/>
  <c r="R105" i="15"/>
  <c r="R104" i="15"/>
  <c r="R103" i="15"/>
  <c r="R102" i="15"/>
  <c r="R101" i="15"/>
  <c r="R100" i="15"/>
  <c r="R99" i="15"/>
  <c r="R97" i="15"/>
  <c r="R96" i="15"/>
  <c r="R95" i="15"/>
  <c r="R93" i="15"/>
  <c r="R94" i="15"/>
  <c r="R92" i="15"/>
  <c r="R91" i="15"/>
  <c r="R90" i="15"/>
  <c r="R89" i="15"/>
  <c r="R88" i="15"/>
  <c r="R87" i="15"/>
  <c r="R86" i="15"/>
  <c r="R85" i="15"/>
  <c r="R84" i="15"/>
  <c r="R83" i="15"/>
  <c r="R82" i="15"/>
  <c r="R81" i="15"/>
  <c r="R80" i="15"/>
  <c r="R79" i="15"/>
  <c r="R78" i="15"/>
  <c r="R77" i="15"/>
  <c r="R76" i="15"/>
  <c r="R75" i="15"/>
  <c r="R74" i="15"/>
  <c r="R73" i="15"/>
  <c r="R72" i="15"/>
  <c r="R71" i="15"/>
  <c r="R70" i="15"/>
  <c r="R69" i="15"/>
  <c r="R68" i="15"/>
  <c r="R67" i="15"/>
  <c r="R66" i="15"/>
  <c r="R65" i="15"/>
  <c r="R64" i="15"/>
  <c r="R63" i="15"/>
  <c r="R62" i="15"/>
  <c r="R61" i="15"/>
  <c r="R60" i="15"/>
  <c r="R59" i="15"/>
  <c r="R58" i="15"/>
  <c r="R57" i="15"/>
  <c r="R56" i="15"/>
  <c r="R55" i="15"/>
  <c r="R54" i="15"/>
  <c r="R53" i="15"/>
  <c r="R52" i="15"/>
  <c r="R51" i="15"/>
  <c r="R50" i="15"/>
  <c r="R49" i="15"/>
  <c r="R48" i="15"/>
  <c r="R47" i="15"/>
  <c r="R46" i="15"/>
  <c r="R45" i="15"/>
  <c r="R44" i="15"/>
  <c r="R43" i="15"/>
  <c r="R42" i="15"/>
  <c r="R41" i="15"/>
  <c r="R40" i="15"/>
  <c r="R39" i="15"/>
  <c r="R37" i="15"/>
  <c r="R36" i="15"/>
  <c r="R35" i="15"/>
  <c r="R34" i="15"/>
  <c r="R33" i="15"/>
  <c r="R32" i="15"/>
  <c r="R31" i="15"/>
  <c r="R30" i="15"/>
  <c r="R29" i="15"/>
  <c r="R27" i="15"/>
  <c r="R26" i="15"/>
  <c r="R25" i="15"/>
  <c r="R24" i="15"/>
  <c r="R23" i="15"/>
  <c r="R22" i="15"/>
  <c r="R21" i="15"/>
  <c r="R20" i="15"/>
  <c r="R19" i="15"/>
  <c r="R18" i="15"/>
  <c r="R17" i="15"/>
  <c r="R16" i="15"/>
  <c r="R15" i="15"/>
  <c r="R14" i="15"/>
  <c r="Q282" i="15"/>
  <c r="Q281" i="15"/>
  <c r="Q280" i="15"/>
  <c r="Q279" i="15"/>
  <c r="Q278" i="15"/>
  <c r="Q277" i="15"/>
  <c r="Q276" i="15"/>
  <c r="Q274" i="15"/>
  <c r="Q273" i="15"/>
  <c r="Q272" i="15"/>
  <c r="Q271" i="15"/>
  <c r="Q270" i="15"/>
  <c r="Q269" i="15"/>
  <c r="Q268" i="15"/>
  <c r="Q267" i="15"/>
  <c r="Q265" i="15"/>
  <c r="Q264" i="15"/>
  <c r="Q263" i="15"/>
  <c r="Q262" i="15"/>
  <c r="Q261" i="15"/>
  <c r="Q260" i="15"/>
  <c r="Q259" i="15"/>
  <c r="Q258" i="15"/>
  <c r="Q257" i="15"/>
  <c r="Q256" i="15"/>
  <c r="Q255" i="15"/>
  <c r="Q254" i="15"/>
  <c r="Q253" i="15"/>
  <c r="Q252" i="15"/>
  <c r="Q251" i="15"/>
  <c r="Q250" i="15"/>
  <c r="Q249" i="15"/>
  <c r="Q247" i="15"/>
  <c r="Q246" i="15"/>
  <c r="Q245" i="15"/>
  <c r="Q244" i="15"/>
  <c r="Q243" i="15"/>
  <c r="Q242" i="15"/>
  <c r="Q241" i="15"/>
  <c r="Q240" i="15"/>
  <c r="Q239" i="15"/>
  <c r="Q237" i="15"/>
  <c r="Q236" i="15"/>
  <c r="Q235" i="15"/>
  <c r="Q234" i="15"/>
  <c r="Q233" i="15"/>
  <c r="Q232" i="15"/>
  <c r="Q231" i="15"/>
  <c r="Q230" i="15"/>
  <c r="Q229" i="15"/>
  <c r="Q228" i="15"/>
  <c r="Q227" i="15"/>
  <c r="Q226" i="15"/>
  <c r="Q225" i="15"/>
  <c r="Q224" i="15"/>
  <c r="Q223" i="15"/>
  <c r="Q222" i="15"/>
  <c r="Q221" i="15"/>
  <c r="Q220" i="15"/>
  <c r="Q219" i="15"/>
  <c r="Q217" i="15"/>
  <c r="Q216" i="15"/>
  <c r="Q215" i="15"/>
  <c r="Q214" i="15"/>
  <c r="Q213" i="15"/>
  <c r="Q211" i="15"/>
  <c r="Q210" i="15"/>
  <c r="Q209" i="15"/>
  <c r="Q208" i="15"/>
  <c r="Q207" i="15"/>
  <c r="Q206" i="15"/>
  <c r="Q205" i="15"/>
  <c r="Q204" i="15"/>
  <c r="Q203" i="15"/>
  <c r="Q202" i="15"/>
  <c r="Q201" i="15"/>
  <c r="Q200" i="15"/>
  <c r="Q199" i="15"/>
  <c r="Q198" i="15"/>
  <c r="Q197" i="15"/>
  <c r="Q196" i="15"/>
  <c r="Q195" i="15"/>
  <c r="Q194" i="15"/>
  <c r="Q193" i="15"/>
  <c r="Q192" i="15"/>
  <c r="Q191" i="15"/>
  <c r="Q190" i="15"/>
  <c r="Q189" i="15"/>
  <c r="Q188" i="15"/>
  <c r="Q186" i="15"/>
  <c r="Q185" i="15"/>
  <c r="Q184" i="15"/>
  <c r="Q183" i="15"/>
  <c r="Q182" i="15"/>
  <c r="Q181" i="15"/>
  <c r="Q180" i="15"/>
  <c r="Q179" i="15"/>
  <c r="Q178" i="15"/>
  <c r="Q177" i="15"/>
  <c r="Q176" i="15"/>
  <c r="Q175" i="15"/>
  <c r="Q174" i="15"/>
  <c r="Q173" i="15"/>
  <c r="Q172" i="15"/>
  <c r="Q171" i="15"/>
  <c r="Q170" i="15"/>
  <c r="Q168" i="15"/>
  <c r="Q167" i="15"/>
  <c r="Q166" i="15"/>
  <c r="Q165" i="15"/>
  <c r="Q164" i="15"/>
  <c r="Q163" i="15"/>
  <c r="Q162" i="15"/>
  <c r="Q161" i="15"/>
  <c r="Q160" i="15"/>
  <c r="Q159" i="15"/>
  <c r="Q158" i="15"/>
  <c r="Q157" i="15"/>
  <c r="Q156" i="15"/>
  <c r="Q155" i="15"/>
  <c r="Q154" i="15"/>
  <c r="Q153" i="15"/>
  <c r="Q152" i="15"/>
  <c r="Q151" i="15"/>
  <c r="Q150" i="15"/>
  <c r="Q149" i="15"/>
  <c r="Q148" i="15"/>
  <c r="Q147" i="15"/>
  <c r="Q146" i="15"/>
  <c r="Q145" i="15"/>
  <c r="Q144" i="15"/>
  <c r="Q143" i="15"/>
  <c r="Q142" i="15"/>
  <c r="Q141" i="15"/>
  <c r="Q140" i="15"/>
  <c r="Q139" i="15"/>
  <c r="Q138" i="15"/>
  <c r="Q137" i="15"/>
  <c r="Q136" i="15"/>
  <c r="Q135" i="15"/>
  <c r="Q134" i="15"/>
  <c r="Q132" i="15"/>
  <c r="Q131" i="15"/>
  <c r="Q130" i="15"/>
  <c r="Q129" i="15"/>
  <c r="Q128" i="15"/>
  <c r="Q127" i="15"/>
  <c r="Q126" i="15"/>
  <c r="Q125" i="15"/>
  <c r="Q124" i="15"/>
  <c r="Q123" i="15"/>
  <c r="Q122" i="15"/>
  <c r="Q121" i="15"/>
  <c r="Q120" i="15"/>
  <c r="Q119" i="15"/>
  <c r="Q118" i="15"/>
  <c r="Q117" i="15"/>
  <c r="Q116" i="15"/>
  <c r="Q115" i="15"/>
  <c r="Q114" i="15"/>
  <c r="Q113" i="15"/>
  <c r="Q112" i="15"/>
  <c r="Q111" i="15"/>
  <c r="Q109" i="15"/>
  <c r="Q108" i="15"/>
  <c r="Q107" i="15"/>
  <c r="Q106" i="15"/>
  <c r="Q105" i="15"/>
  <c r="Q104" i="15"/>
  <c r="Q103" i="15"/>
  <c r="Q102" i="15"/>
  <c r="Q101" i="15"/>
  <c r="Q100" i="15"/>
  <c r="Q99" i="15"/>
  <c r="Q97" i="15"/>
  <c r="Q96" i="15"/>
  <c r="Q95" i="15"/>
  <c r="Q93" i="15"/>
  <c r="Q94" i="15"/>
  <c r="Q92" i="15"/>
  <c r="Q91" i="15"/>
  <c r="Q90" i="15"/>
  <c r="Q89" i="15"/>
  <c r="Q88" i="15"/>
  <c r="Q87" i="15"/>
  <c r="Q86" i="15"/>
  <c r="Q85" i="15"/>
  <c r="Q84" i="15"/>
  <c r="Q83" i="15"/>
  <c r="Q82" i="15"/>
  <c r="Q81" i="15"/>
  <c r="Q80" i="15"/>
  <c r="Q79" i="15"/>
  <c r="Q78" i="15"/>
  <c r="Q77" i="15"/>
  <c r="Q76" i="15"/>
  <c r="Q75" i="15"/>
  <c r="Q74" i="15"/>
  <c r="Q73" i="15"/>
  <c r="Q72" i="15"/>
  <c r="Q71" i="15"/>
  <c r="Q70" i="15"/>
  <c r="Q69" i="15"/>
  <c r="Q68" i="15"/>
  <c r="Q67" i="15"/>
  <c r="Q66" i="15"/>
  <c r="Q65" i="15"/>
  <c r="Q64" i="15"/>
  <c r="Q63" i="15"/>
  <c r="Q62" i="15"/>
  <c r="Q61" i="15"/>
  <c r="Q60" i="15"/>
  <c r="Q59" i="15"/>
  <c r="Q58" i="15"/>
  <c r="Q57" i="15"/>
  <c r="Q56" i="15"/>
  <c r="Q55" i="15"/>
  <c r="Q54" i="15"/>
  <c r="Q53" i="15"/>
  <c r="Q52" i="15"/>
  <c r="Q51" i="15"/>
  <c r="Q50" i="15"/>
  <c r="Q49" i="15"/>
  <c r="Q48" i="15"/>
  <c r="Q47" i="15"/>
  <c r="Q46" i="15"/>
  <c r="Q45" i="15"/>
  <c r="Q44" i="15"/>
  <c r="Q43" i="15"/>
  <c r="Q42" i="15"/>
  <c r="Q41" i="15"/>
  <c r="Q40" i="15"/>
  <c r="Q39" i="15"/>
  <c r="Q37" i="15"/>
  <c r="Q36" i="15"/>
  <c r="Q35" i="15"/>
  <c r="Q34" i="15"/>
  <c r="Q33" i="15"/>
  <c r="Q32" i="15"/>
  <c r="Q31" i="15"/>
  <c r="Q30" i="15"/>
  <c r="Q29" i="15"/>
  <c r="Q27" i="15"/>
  <c r="Q26" i="15"/>
  <c r="Q25" i="15"/>
  <c r="Q24" i="15"/>
  <c r="Q23" i="15"/>
  <c r="Q22" i="15"/>
  <c r="Q21" i="15"/>
  <c r="Q19" i="15"/>
  <c r="Q18" i="15"/>
  <c r="Q17" i="15"/>
  <c r="Q16" i="15"/>
  <c r="Q15" i="15"/>
  <c r="R110" i="15"/>
  <c r="M324" i="14"/>
  <c r="K324" i="14"/>
  <c r="I324" i="14"/>
  <c r="G324" i="14"/>
  <c r="S110" i="15" l="1"/>
  <c r="Q110" i="15"/>
  <c r="M315" i="14"/>
  <c r="K315" i="14"/>
  <c r="I315" i="14"/>
  <c r="G315" i="14"/>
  <c r="F289" i="14" l="1"/>
  <c r="T265" i="15"/>
  <c r="T338" i="15" l="1"/>
  <c r="T337" i="15"/>
  <c r="T336" i="15"/>
  <c r="T335" i="15"/>
  <c r="T334" i="15"/>
  <c r="T333" i="15"/>
  <c r="T332" i="15"/>
  <c r="T331" i="15"/>
  <c r="T330" i="15"/>
  <c r="T329" i="15"/>
  <c r="T328" i="15"/>
  <c r="T327" i="15"/>
  <c r="T326" i="15"/>
  <c r="T325" i="15"/>
  <c r="T324" i="15"/>
  <c r="T323" i="15"/>
  <c r="T322" i="15"/>
  <c r="T321" i="15"/>
  <c r="T320" i="15"/>
  <c r="T319" i="15"/>
  <c r="T318" i="15"/>
  <c r="T317" i="15"/>
  <c r="T316" i="15"/>
  <c r="T315" i="15"/>
  <c r="T314" i="15"/>
  <c r="T313" i="15"/>
  <c r="T312" i="15"/>
  <c r="T311" i="15"/>
  <c r="T310" i="15"/>
  <c r="T309" i="15"/>
  <c r="T308" i="15"/>
  <c r="T307" i="15"/>
  <c r="T306" i="15"/>
  <c r="T305" i="15"/>
  <c r="T304" i="15"/>
  <c r="T303" i="15"/>
  <c r="T302" i="15"/>
  <c r="T301" i="15"/>
  <c r="T300" i="15"/>
  <c r="T299" i="15"/>
  <c r="T298" i="15"/>
  <c r="T297" i="15"/>
  <c r="T296" i="15"/>
  <c r="T295" i="15"/>
  <c r="T294" i="15"/>
  <c r="T293" i="15"/>
  <c r="T292" i="15"/>
  <c r="T291" i="15"/>
  <c r="T290" i="15"/>
  <c r="T289" i="15"/>
  <c r="T288" i="15"/>
  <c r="T287" i="15"/>
  <c r="T286" i="15"/>
  <c r="T285" i="15"/>
  <c r="T284" i="15"/>
  <c r="T283" i="15"/>
  <c r="T282" i="15"/>
  <c r="T281" i="15"/>
  <c r="T280" i="15"/>
  <c r="T279" i="15"/>
  <c r="T278" i="15"/>
  <c r="T277" i="15"/>
  <c r="T276" i="15"/>
  <c r="T274" i="15"/>
  <c r="T273" i="15"/>
  <c r="T271" i="15"/>
  <c r="T270" i="15"/>
  <c r="T269" i="15"/>
  <c r="T268" i="15"/>
  <c r="T267" i="15"/>
  <c r="T264" i="15"/>
  <c r="T263" i="15"/>
  <c r="T262" i="15"/>
  <c r="T261" i="15"/>
  <c r="T260" i="15"/>
  <c r="T259" i="15"/>
  <c r="T258" i="15"/>
  <c r="T257" i="15"/>
  <c r="T256" i="15"/>
  <c r="T255" i="15"/>
  <c r="T254" i="15"/>
  <c r="T253" i="15"/>
  <c r="T252" i="15"/>
  <c r="T251" i="15"/>
  <c r="T250" i="15"/>
  <c r="T249" i="15"/>
  <c r="T247" i="15"/>
  <c r="T246" i="15"/>
  <c r="T245" i="15"/>
  <c r="T244" i="15"/>
  <c r="T243" i="15"/>
  <c r="T242" i="15"/>
  <c r="T241" i="15"/>
  <c r="T239" i="15"/>
  <c r="T237" i="15"/>
  <c r="T236" i="15"/>
  <c r="T235" i="15"/>
  <c r="T234" i="15"/>
  <c r="T233" i="15"/>
  <c r="T232" i="15"/>
  <c r="T231" i="15"/>
  <c r="T230" i="15"/>
  <c r="T229" i="15"/>
  <c r="T228" i="15"/>
  <c r="T227" i="15"/>
  <c r="T226" i="15"/>
  <c r="T225" i="15"/>
  <c r="T224" i="15"/>
  <c r="T223" i="15"/>
  <c r="T222" i="15"/>
  <c r="T221" i="15"/>
  <c r="T220" i="15"/>
  <c r="T219" i="15"/>
  <c r="T217" i="15"/>
  <c r="T216" i="15"/>
  <c r="T215" i="15"/>
  <c r="T214" i="15"/>
  <c r="T211" i="15"/>
  <c r="T210" i="15"/>
  <c r="T209" i="15"/>
  <c r="T208" i="15"/>
  <c r="T207" i="15"/>
  <c r="T206" i="15"/>
  <c r="T205" i="15"/>
  <c r="T204" i="15"/>
  <c r="T203" i="15"/>
  <c r="T202" i="15"/>
  <c r="T201" i="15"/>
  <c r="T200" i="15"/>
  <c r="T199" i="15"/>
  <c r="T197" i="15"/>
  <c r="T196" i="15"/>
  <c r="T195" i="15"/>
  <c r="T194" i="15"/>
  <c r="T193" i="15"/>
  <c r="T192" i="15"/>
  <c r="T191" i="15"/>
  <c r="T190" i="15"/>
  <c r="T189" i="15"/>
  <c r="T188" i="15"/>
  <c r="T186" i="15"/>
  <c r="T185" i="15"/>
  <c r="T184" i="15"/>
  <c r="T183" i="15"/>
  <c r="T182" i="15"/>
  <c r="T181" i="15"/>
  <c r="T180" i="15"/>
  <c r="T179" i="15"/>
  <c r="T178" i="15"/>
  <c r="T177" i="15"/>
  <c r="T176" i="15"/>
  <c r="T175" i="15"/>
  <c r="T172" i="15"/>
  <c r="T171" i="15"/>
  <c r="T170" i="15"/>
  <c r="T168" i="15"/>
  <c r="T167" i="15"/>
  <c r="T166" i="15"/>
  <c r="T165" i="15"/>
  <c r="T164" i="15"/>
  <c r="T163" i="15"/>
  <c r="T162" i="15"/>
  <c r="T161" i="15"/>
  <c r="T160" i="15"/>
  <c r="T159" i="15"/>
  <c r="T158" i="15"/>
  <c r="T157" i="15"/>
  <c r="T156" i="15"/>
  <c r="T155" i="15"/>
  <c r="T154" i="15"/>
  <c r="T153" i="15"/>
  <c r="T152" i="15"/>
  <c r="T151" i="15"/>
  <c r="T150" i="15"/>
  <c r="T149" i="15"/>
  <c r="T147" i="15"/>
  <c r="T146" i="15"/>
  <c r="T145" i="15"/>
  <c r="T144" i="15"/>
  <c r="T143" i="15"/>
  <c r="T142" i="15"/>
  <c r="T141" i="15"/>
  <c r="T140" i="15"/>
  <c r="T139" i="15"/>
  <c r="T138" i="15"/>
  <c r="T137" i="15"/>
  <c r="T136" i="15"/>
  <c r="T134" i="15"/>
  <c r="T132" i="15"/>
  <c r="T131" i="15"/>
  <c r="T130" i="15"/>
  <c r="T129" i="15"/>
  <c r="T128" i="15"/>
  <c r="T127" i="15"/>
  <c r="T126" i="15"/>
  <c r="T125" i="15"/>
  <c r="T124" i="15"/>
  <c r="T123" i="15"/>
  <c r="T122" i="15"/>
  <c r="T121" i="15"/>
  <c r="T120" i="15"/>
  <c r="T119" i="15"/>
  <c r="T118" i="15"/>
  <c r="T117" i="15"/>
  <c r="T116" i="15"/>
  <c r="T115" i="15"/>
  <c r="T114" i="15"/>
  <c r="T113" i="15"/>
  <c r="T112" i="15"/>
  <c r="T111" i="15"/>
  <c r="T109" i="15"/>
  <c r="T108" i="15"/>
  <c r="T107" i="15"/>
  <c r="T106" i="15"/>
  <c r="T105" i="15"/>
  <c r="T103" i="15"/>
  <c r="T102" i="15"/>
  <c r="T101" i="15"/>
  <c r="T100" i="15"/>
  <c r="T99" i="15"/>
  <c r="T97" i="15"/>
  <c r="T96" i="15"/>
  <c r="T95" i="15"/>
  <c r="T93" i="15"/>
  <c r="T94" i="15"/>
  <c r="T92" i="15"/>
  <c r="T91" i="15"/>
  <c r="T90" i="15"/>
  <c r="T89" i="15"/>
  <c r="T88" i="15"/>
  <c r="T87" i="15"/>
  <c r="T86" i="15"/>
  <c r="T85" i="15"/>
  <c r="T84" i="15"/>
  <c r="T83" i="15"/>
  <c r="T82" i="15"/>
  <c r="T81" i="15"/>
  <c r="T80" i="15"/>
  <c r="T79" i="15"/>
  <c r="T78" i="15"/>
  <c r="T77" i="15"/>
  <c r="T76" i="15"/>
  <c r="T75" i="15"/>
  <c r="T74" i="15"/>
  <c r="T73" i="15"/>
  <c r="T72" i="15"/>
  <c r="T71" i="15"/>
  <c r="T70" i="15"/>
  <c r="T69" i="15"/>
  <c r="T68" i="15"/>
  <c r="T67" i="15"/>
  <c r="T66" i="15"/>
  <c r="T65" i="15"/>
  <c r="T64" i="15"/>
  <c r="T63" i="15"/>
  <c r="T62" i="15"/>
  <c r="T61" i="15"/>
  <c r="T60" i="15"/>
  <c r="T59" i="15"/>
  <c r="T58" i="15"/>
  <c r="T57" i="15"/>
  <c r="T56" i="15"/>
  <c r="T55" i="15"/>
  <c r="T54" i="15"/>
  <c r="T53" i="15"/>
  <c r="T52" i="15"/>
  <c r="T51" i="15"/>
  <c r="T50" i="15"/>
  <c r="T49" i="15"/>
  <c r="T47" i="15"/>
  <c r="T46" i="15"/>
  <c r="T45" i="15"/>
  <c r="T43" i="15"/>
  <c r="T42" i="15"/>
  <c r="T41" i="15"/>
  <c r="T40" i="15"/>
  <c r="T39" i="15"/>
  <c r="T37" i="15"/>
  <c r="T36" i="15"/>
  <c r="T35" i="15"/>
  <c r="T34" i="15"/>
  <c r="T33" i="15"/>
  <c r="T32" i="15"/>
  <c r="T31" i="15"/>
  <c r="T30" i="15"/>
  <c r="T29" i="15"/>
  <c r="T27" i="15"/>
  <c r="T25" i="15"/>
  <c r="T24" i="15"/>
  <c r="T23" i="15"/>
  <c r="T22" i="15"/>
  <c r="T21" i="15"/>
  <c r="T20" i="15"/>
  <c r="T19" i="15"/>
  <c r="T18" i="15"/>
  <c r="T17" i="15"/>
  <c r="T16" i="15"/>
  <c r="T15" i="15"/>
  <c r="G299" i="14"/>
  <c r="T135" i="15" l="1"/>
  <c r="T213" i="15"/>
  <c r="T240" i="15"/>
  <c r="T110" i="15"/>
  <c r="T174" i="15"/>
  <c r="T148" i="15"/>
  <c r="T44" i="15"/>
  <c r="T272" i="15"/>
  <c r="T14" i="15"/>
  <c r="T173" i="15"/>
  <c r="T198" i="15"/>
  <c r="T48" i="15"/>
  <c r="T26" i="15"/>
  <c r="T104" i="15"/>
  <c r="M269" i="14"/>
  <c r="K269" i="14"/>
  <c r="I269" i="14"/>
  <c r="G269" i="14"/>
  <c r="T236" i="14"/>
  <c r="M174" i="14"/>
  <c r="G89" i="14"/>
  <c r="I291" i="14"/>
  <c r="M118" i="14"/>
  <c r="K118" i="14"/>
  <c r="I118" i="14"/>
  <c r="G118" i="14"/>
  <c r="I154" i="14" l="1"/>
  <c r="G154" i="14"/>
  <c r="G289" i="14"/>
  <c r="H289" i="14"/>
  <c r="I289" i="14"/>
  <c r="G211" i="14"/>
  <c r="M318" i="14" l="1"/>
  <c r="K318" i="14"/>
  <c r="I318" i="14"/>
  <c r="G318" i="14"/>
  <c r="G196" i="14"/>
  <c r="G86" i="14"/>
  <c r="G235" i="14" l="1"/>
  <c r="T127" i="14"/>
  <c r="S127" i="14"/>
  <c r="R127" i="14"/>
  <c r="Q127" i="14"/>
  <c r="G90" i="14"/>
  <c r="I90" i="14" l="1"/>
  <c r="K174" i="14"/>
  <c r="I143" i="14"/>
  <c r="G143" i="14"/>
  <c r="T270" i="14"/>
  <c r="S270" i="14"/>
  <c r="R270" i="14"/>
  <c r="Q270" i="14"/>
  <c r="T75" i="14"/>
  <c r="S75" i="14"/>
  <c r="R75" i="14"/>
  <c r="Q75" i="14"/>
  <c r="T52" i="14"/>
  <c r="S52" i="14"/>
  <c r="R52" i="14"/>
  <c r="Q52" i="14"/>
  <c r="T46" i="14"/>
  <c r="S46" i="14"/>
  <c r="R46" i="14"/>
  <c r="Q46" i="14"/>
  <c r="T34" i="14"/>
  <c r="S34" i="14"/>
  <c r="R34" i="14"/>
  <c r="Q34" i="14"/>
  <c r="T95" i="14" l="1"/>
  <c r="S95" i="14"/>
  <c r="R95" i="14"/>
  <c r="Q95" i="14"/>
  <c r="T264" i="14"/>
  <c r="S264" i="14"/>
  <c r="R264" i="14"/>
  <c r="Q264" i="14"/>
  <c r="T205" i="14"/>
  <c r="S205" i="14"/>
  <c r="R205" i="14"/>
  <c r="Q205" i="14"/>
  <c r="T235" i="14"/>
  <c r="S235" i="14"/>
  <c r="R235" i="14"/>
  <c r="Q235" i="14"/>
  <c r="T35" i="14"/>
  <c r="S35" i="14"/>
  <c r="R35" i="14"/>
  <c r="Q35" i="14"/>
  <c r="I214" i="14"/>
  <c r="G291" i="14"/>
  <c r="I142" i="14" l="1"/>
  <c r="G142" i="14"/>
  <c r="G110" i="14" l="1"/>
  <c r="G186" i="14" l="1"/>
  <c r="I174" i="14"/>
  <c r="G174" i="14"/>
  <c r="G27" i="14"/>
  <c r="G15" i="14"/>
  <c r="G14" i="14" l="1"/>
  <c r="I187" i="14"/>
  <c r="G187" i="14"/>
  <c r="G231" i="14" l="1"/>
  <c r="G226" i="14"/>
  <c r="T228" i="14"/>
  <c r="S228" i="14"/>
  <c r="R228" i="14"/>
  <c r="Q228" i="14"/>
  <c r="G48" i="14"/>
  <c r="T200" i="14"/>
  <c r="S200" i="14"/>
  <c r="R200" i="14"/>
  <c r="Q200" i="14"/>
  <c r="T241" i="14"/>
  <c r="S241" i="14"/>
  <c r="R241" i="14"/>
  <c r="Q241" i="14"/>
  <c r="T177" i="14"/>
  <c r="S177" i="14"/>
  <c r="R177" i="14"/>
  <c r="Q177" i="14"/>
  <c r="T176" i="14"/>
  <c r="S176" i="14"/>
  <c r="R176" i="14"/>
  <c r="Q176" i="14"/>
  <c r="T124" i="14"/>
  <c r="S124" i="14"/>
  <c r="R124" i="14"/>
  <c r="Q124" i="14"/>
  <c r="T155" i="14"/>
  <c r="S155" i="14"/>
  <c r="R155" i="14"/>
  <c r="Q155" i="14"/>
  <c r="T145" i="14"/>
  <c r="S145" i="14"/>
  <c r="R145" i="14"/>
  <c r="Q145" i="14"/>
  <c r="T134" i="14"/>
  <c r="S134" i="14"/>
  <c r="R134" i="14"/>
  <c r="Q134" i="14"/>
  <c r="T65" i="14"/>
  <c r="S65" i="14"/>
  <c r="R65" i="14"/>
  <c r="Q65" i="14"/>
  <c r="T20" i="14"/>
  <c r="S20" i="14"/>
  <c r="R20" i="14"/>
  <c r="Q20" i="14"/>
  <c r="G168" i="14"/>
  <c r="S168" i="14" s="1"/>
  <c r="T286" i="14"/>
  <c r="S286" i="14"/>
  <c r="R286" i="14"/>
  <c r="Q286" i="14"/>
  <c r="T94" i="14"/>
  <c r="S94" i="14"/>
  <c r="R94" i="14"/>
  <c r="Q94" i="14"/>
  <c r="G44" i="14"/>
  <c r="T168" i="14" l="1"/>
  <c r="R168" i="14"/>
  <c r="Q168" i="14"/>
  <c r="G69" i="14" l="1"/>
  <c r="G163" i="14"/>
  <c r="G156" i="14"/>
  <c r="T230" i="14"/>
  <c r="S230" i="14"/>
  <c r="R230" i="14"/>
  <c r="Q230" i="14"/>
  <c r="G259" i="14"/>
  <c r="S259" i="14" s="1"/>
  <c r="G255" i="14" l="1"/>
  <c r="T255" i="14" l="1"/>
  <c r="S255" i="14"/>
  <c r="R255" i="14"/>
  <c r="Q255" i="14"/>
  <c r="G293" i="14"/>
  <c r="G256" i="14" l="1"/>
  <c r="G244" i="14"/>
  <c r="G36" i="14"/>
  <c r="T242" i="14"/>
  <c r="S242" i="14"/>
  <c r="R242" i="14"/>
  <c r="Q242" i="14"/>
  <c r="T126" i="14"/>
  <c r="S126" i="14"/>
  <c r="R126" i="14"/>
  <c r="Q126" i="14"/>
  <c r="T122" i="14"/>
  <c r="S122" i="14"/>
  <c r="R122" i="14"/>
  <c r="Q122" i="14"/>
  <c r="T47" i="14"/>
  <c r="S47" i="14"/>
  <c r="R47" i="14"/>
  <c r="Q47" i="14"/>
  <c r="G218" i="14"/>
  <c r="T245" i="14" l="1"/>
  <c r="S245" i="14"/>
  <c r="R245" i="14"/>
  <c r="Q245" i="14"/>
  <c r="T227" i="14"/>
  <c r="S227" i="14"/>
  <c r="R227" i="14"/>
  <c r="Q227" i="14"/>
  <c r="T244" i="14"/>
  <c r="S244" i="14"/>
  <c r="R244" i="14"/>
  <c r="Q244" i="14"/>
  <c r="T158" i="14"/>
  <c r="S158" i="14"/>
  <c r="R158" i="14"/>
  <c r="Q158" i="14"/>
  <c r="T150" i="14"/>
  <c r="S150" i="14"/>
  <c r="R150" i="14"/>
  <c r="Q150" i="14"/>
  <c r="T69" i="14"/>
  <c r="S69" i="14"/>
  <c r="R69" i="14"/>
  <c r="Q69" i="14"/>
  <c r="T42" i="14"/>
  <c r="S42" i="14"/>
  <c r="R42" i="14"/>
  <c r="Q42" i="14"/>
  <c r="T30" i="14"/>
  <c r="S30" i="14"/>
  <c r="R30" i="14"/>
  <c r="Q30" i="14"/>
  <c r="T44" i="14"/>
  <c r="S44" i="14"/>
  <c r="R44" i="14"/>
  <c r="Q44" i="14"/>
  <c r="T140" i="14"/>
  <c r="S140" i="14"/>
  <c r="R140" i="14"/>
  <c r="Q140" i="14"/>
  <c r="T92" i="14"/>
  <c r="S92" i="14"/>
  <c r="R92" i="14"/>
  <c r="Q92" i="14"/>
  <c r="M298" i="13"/>
  <c r="K298" i="13"/>
  <c r="I298" i="13"/>
  <c r="G298" i="13"/>
  <c r="Q213" i="13" l="1"/>
  <c r="Q16" i="14"/>
  <c r="G225" i="13"/>
  <c r="I274" i="13" l="1"/>
  <c r="G274" i="13"/>
  <c r="Q289" i="14" l="1"/>
  <c r="R300" i="14"/>
  <c r="R299" i="14"/>
  <c r="R298" i="14"/>
  <c r="R297" i="14"/>
  <c r="R296" i="14"/>
  <c r="R295" i="14"/>
  <c r="R294" i="14"/>
  <c r="R293" i="14"/>
  <c r="R292" i="14"/>
  <c r="R291" i="14"/>
  <c r="R290" i="14"/>
  <c r="R289" i="14"/>
  <c r="R287" i="14"/>
  <c r="R285" i="14"/>
  <c r="R284" i="14"/>
  <c r="R283" i="14"/>
  <c r="R282" i="14"/>
  <c r="R281" i="14"/>
  <c r="R280" i="14"/>
  <c r="R279" i="14"/>
  <c r="R278" i="14"/>
  <c r="R277" i="14"/>
  <c r="R276" i="14"/>
  <c r="R275" i="14"/>
  <c r="R274" i="14"/>
  <c r="R273" i="14"/>
  <c r="R272" i="14"/>
  <c r="R271" i="14"/>
  <c r="R269" i="14"/>
  <c r="R268" i="14"/>
  <c r="R267" i="14"/>
  <c r="R266" i="14"/>
  <c r="R265" i="14"/>
  <c r="R263" i="14"/>
  <c r="R262" i="14"/>
  <c r="R261" i="14"/>
  <c r="R260" i="14"/>
  <c r="R259" i="14"/>
  <c r="R258" i="14"/>
  <c r="R257" i="14"/>
  <c r="R256" i="14"/>
  <c r="R254" i="14"/>
  <c r="R253" i="14"/>
  <c r="R252" i="14"/>
  <c r="R251" i="14"/>
  <c r="R250" i="14"/>
  <c r="R249" i="14"/>
  <c r="R248" i="14"/>
  <c r="R247" i="14"/>
  <c r="R246" i="14"/>
  <c r="R243" i="14"/>
  <c r="R240" i="14"/>
  <c r="R239" i="14"/>
  <c r="R238" i="14"/>
  <c r="R237" i="14"/>
  <c r="R236" i="14"/>
  <c r="R234" i="14"/>
  <c r="R233" i="14"/>
  <c r="R232" i="14"/>
  <c r="R231" i="14"/>
  <c r="R226" i="14"/>
  <c r="R225" i="14"/>
  <c r="R224" i="14"/>
  <c r="R223" i="14"/>
  <c r="R222" i="14"/>
  <c r="R221" i="14"/>
  <c r="R220" i="14"/>
  <c r="R219" i="14"/>
  <c r="R218" i="14"/>
  <c r="R217" i="14"/>
  <c r="R216" i="14"/>
  <c r="R215" i="14"/>
  <c r="R214" i="14"/>
  <c r="R213" i="14"/>
  <c r="R212" i="14"/>
  <c r="R211" i="14"/>
  <c r="R210" i="14"/>
  <c r="R209" i="14"/>
  <c r="R208" i="14"/>
  <c r="R207" i="14"/>
  <c r="R206" i="14"/>
  <c r="R204" i="14"/>
  <c r="R203" i="14"/>
  <c r="R202" i="14"/>
  <c r="R201" i="14"/>
  <c r="R199" i="14"/>
  <c r="R198" i="14"/>
  <c r="R197" i="14"/>
  <c r="R196" i="14"/>
  <c r="R195" i="14"/>
  <c r="R194" i="14"/>
  <c r="R193" i="14"/>
  <c r="R192" i="14"/>
  <c r="R191" i="14"/>
  <c r="R190" i="14"/>
  <c r="R189" i="14"/>
  <c r="R188" i="14"/>
  <c r="R187" i="14"/>
  <c r="R186" i="14"/>
  <c r="R185" i="14"/>
  <c r="R184" i="14"/>
  <c r="R183" i="14"/>
  <c r="R182" i="14"/>
  <c r="R181" i="14"/>
  <c r="R180" i="14"/>
  <c r="R179" i="14"/>
  <c r="R178" i="14"/>
  <c r="R175" i="14"/>
  <c r="R174" i="14"/>
  <c r="R173" i="14"/>
  <c r="R172" i="14"/>
  <c r="R171" i="14"/>
  <c r="R170" i="14"/>
  <c r="R169" i="14"/>
  <c r="R167" i="14"/>
  <c r="R166" i="14"/>
  <c r="R165" i="14"/>
  <c r="R164" i="14"/>
  <c r="R163" i="14"/>
  <c r="R162" i="14"/>
  <c r="R161" i="14"/>
  <c r="R160" i="14"/>
  <c r="R159" i="14"/>
  <c r="R157" i="14"/>
  <c r="R156" i="14"/>
  <c r="R154" i="14"/>
  <c r="R153" i="14"/>
  <c r="R152" i="14"/>
  <c r="R151" i="14"/>
  <c r="R149" i="14"/>
  <c r="R148" i="14"/>
  <c r="R147" i="14"/>
  <c r="R146" i="14"/>
  <c r="R144" i="14"/>
  <c r="R143" i="14"/>
  <c r="R142" i="14"/>
  <c r="R141" i="14"/>
  <c r="R139" i="14"/>
  <c r="R138" i="14"/>
  <c r="R137" i="14"/>
  <c r="R136" i="14"/>
  <c r="R135" i="14"/>
  <c r="R133" i="14"/>
  <c r="R132" i="14"/>
  <c r="R131" i="14"/>
  <c r="R130" i="14"/>
  <c r="R129" i="14"/>
  <c r="R128" i="14"/>
  <c r="R118" i="14"/>
  <c r="R125" i="14"/>
  <c r="R123" i="14"/>
  <c r="R121" i="14"/>
  <c r="R120" i="14"/>
  <c r="R119" i="14"/>
  <c r="R117" i="14"/>
  <c r="R116" i="14"/>
  <c r="R115" i="14"/>
  <c r="R114" i="14"/>
  <c r="R113" i="14"/>
  <c r="R112" i="14"/>
  <c r="R111" i="14"/>
  <c r="R110" i="14"/>
  <c r="R109" i="14"/>
  <c r="R108" i="14"/>
  <c r="R107" i="14"/>
  <c r="R106" i="14"/>
  <c r="R105" i="14"/>
  <c r="R104" i="14"/>
  <c r="R103" i="14"/>
  <c r="R102" i="14"/>
  <c r="R101" i="14"/>
  <c r="R100" i="14"/>
  <c r="R99" i="14"/>
  <c r="R98" i="14"/>
  <c r="R97" i="14"/>
  <c r="R96" i="14"/>
  <c r="R93" i="14"/>
  <c r="R91" i="14"/>
  <c r="R90" i="14"/>
  <c r="R89" i="14"/>
  <c r="R88" i="14"/>
  <c r="R87" i="14"/>
  <c r="R86" i="14"/>
  <c r="R85" i="14"/>
  <c r="R84" i="14"/>
  <c r="R83" i="14"/>
  <c r="R82" i="14"/>
  <c r="R81" i="14"/>
  <c r="R80" i="14"/>
  <c r="R79" i="14"/>
  <c r="R78" i="14"/>
  <c r="R77" i="14"/>
  <c r="R76" i="14"/>
  <c r="R74" i="14"/>
  <c r="R73" i="14"/>
  <c r="R72" i="14"/>
  <c r="R71" i="14"/>
  <c r="R70" i="14"/>
  <c r="R68" i="14"/>
  <c r="R67" i="14"/>
  <c r="R66" i="14"/>
  <c r="R64" i="14"/>
  <c r="R63" i="14"/>
  <c r="R62" i="14"/>
  <c r="R61" i="14"/>
  <c r="R60" i="14"/>
  <c r="R59" i="14"/>
  <c r="R58" i="14"/>
  <c r="R57" i="14"/>
  <c r="R56" i="14"/>
  <c r="R55" i="14"/>
  <c r="R54" i="14"/>
  <c r="R53" i="14"/>
  <c r="R51" i="14"/>
  <c r="R50" i="14"/>
  <c r="R49" i="14"/>
  <c r="R48" i="14"/>
  <c r="R45" i="14"/>
  <c r="R43" i="14"/>
  <c r="R41" i="14"/>
  <c r="R40" i="14"/>
  <c r="R39" i="14"/>
  <c r="R38" i="14"/>
  <c r="R37" i="14"/>
  <c r="R36" i="14"/>
  <c r="R33" i="14"/>
  <c r="R32" i="14"/>
  <c r="R31" i="14"/>
  <c r="R29" i="14"/>
  <c r="R28" i="14"/>
  <c r="R27" i="14"/>
  <c r="R26" i="14"/>
  <c r="R25" i="14"/>
  <c r="R24" i="14"/>
  <c r="R23" i="14"/>
  <c r="R22" i="14"/>
  <c r="R21" i="14"/>
  <c r="R19" i="14"/>
  <c r="R18" i="14"/>
  <c r="R17" i="14"/>
  <c r="R16" i="14"/>
  <c r="R15" i="14"/>
  <c r="R14" i="14"/>
  <c r="S300" i="14"/>
  <c r="S299" i="14"/>
  <c r="S298" i="14"/>
  <c r="S297" i="14"/>
  <c r="S296" i="14"/>
  <c r="S295" i="14"/>
  <c r="S294" i="14"/>
  <c r="S293" i="14"/>
  <c r="S292" i="14"/>
  <c r="S291" i="14"/>
  <c r="S290" i="14"/>
  <c r="S289" i="14"/>
  <c r="S287" i="14"/>
  <c r="S285" i="14"/>
  <c r="S284" i="14"/>
  <c r="S283" i="14"/>
  <c r="S282" i="14"/>
  <c r="S281" i="14"/>
  <c r="S280" i="14"/>
  <c r="S279" i="14"/>
  <c r="S278" i="14"/>
  <c r="S277" i="14"/>
  <c r="S276" i="14"/>
  <c r="S275" i="14"/>
  <c r="S274" i="14"/>
  <c r="S273" i="14"/>
  <c r="S272" i="14"/>
  <c r="S271" i="14"/>
  <c r="S269" i="14"/>
  <c r="S268" i="14"/>
  <c r="S267" i="14"/>
  <c r="S266" i="14"/>
  <c r="S265" i="14"/>
  <c r="S263" i="14"/>
  <c r="S262" i="14"/>
  <c r="S261" i="14"/>
  <c r="S260" i="14"/>
  <c r="S258" i="14"/>
  <c r="S257" i="14"/>
  <c r="S256" i="14"/>
  <c r="S254" i="14"/>
  <c r="S253" i="14"/>
  <c r="S252" i="14"/>
  <c r="S251" i="14"/>
  <c r="S250" i="14"/>
  <c r="S249" i="14"/>
  <c r="S248" i="14"/>
  <c r="S247" i="14"/>
  <c r="S246" i="14"/>
  <c r="S243" i="14"/>
  <c r="S240" i="14"/>
  <c r="S239" i="14"/>
  <c r="S238" i="14"/>
  <c r="S237" i="14"/>
  <c r="S236" i="14"/>
  <c r="S234" i="14"/>
  <c r="S233" i="14"/>
  <c r="S232" i="14"/>
  <c r="S231" i="14"/>
  <c r="S226" i="14"/>
  <c r="S225" i="14"/>
  <c r="S224" i="14"/>
  <c r="S223" i="14"/>
  <c r="S222" i="14"/>
  <c r="S221" i="14"/>
  <c r="S220" i="14"/>
  <c r="S219" i="14"/>
  <c r="S218" i="14"/>
  <c r="S217" i="14"/>
  <c r="S216" i="14"/>
  <c r="S215" i="14"/>
  <c r="S214" i="14"/>
  <c r="S213" i="14"/>
  <c r="S212" i="14"/>
  <c r="S211" i="14"/>
  <c r="S210" i="14"/>
  <c r="S209" i="14"/>
  <c r="S208" i="14"/>
  <c r="S207" i="14"/>
  <c r="S206" i="14"/>
  <c r="S204" i="14"/>
  <c r="S203" i="14"/>
  <c r="S202" i="14"/>
  <c r="S201" i="14"/>
  <c r="S199" i="14"/>
  <c r="S198" i="14"/>
  <c r="S197" i="14"/>
  <c r="S196" i="14"/>
  <c r="S195" i="14"/>
  <c r="S194" i="14"/>
  <c r="S193" i="14"/>
  <c r="S192" i="14"/>
  <c r="S191" i="14"/>
  <c r="S190" i="14"/>
  <c r="S189" i="14"/>
  <c r="S188" i="14"/>
  <c r="S187" i="14"/>
  <c r="S186" i="14"/>
  <c r="S185" i="14"/>
  <c r="S184" i="14"/>
  <c r="S183" i="14"/>
  <c r="S182" i="14"/>
  <c r="S181" i="14"/>
  <c r="S180" i="14"/>
  <c r="S179" i="14"/>
  <c r="S178" i="14"/>
  <c r="S175" i="14"/>
  <c r="S174" i="14"/>
  <c r="S173" i="14"/>
  <c r="S172" i="14"/>
  <c r="S171" i="14"/>
  <c r="S170" i="14"/>
  <c r="S169" i="14"/>
  <c r="S167" i="14"/>
  <c r="S166" i="14"/>
  <c r="S165" i="14"/>
  <c r="S164" i="14"/>
  <c r="S163" i="14"/>
  <c r="S162" i="14"/>
  <c r="S161" i="14"/>
  <c r="S160" i="14"/>
  <c r="S159" i="14"/>
  <c r="S157" i="14"/>
  <c r="S156" i="14"/>
  <c r="S154" i="14"/>
  <c r="S153" i="14"/>
  <c r="S152" i="14"/>
  <c r="S151" i="14"/>
  <c r="S149" i="14"/>
  <c r="S148" i="14"/>
  <c r="S147" i="14"/>
  <c r="S146" i="14"/>
  <c r="S144" i="14"/>
  <c r="S143" i="14"/>
  <c r="S142" i="14"/>
  <c r="S141" i="14"/>
  <c r="S139" i="14"/>
  <c r="S138" i="14"/>
  <c r="S137" i="14"/>
  <c r="S136" i="14"/>
  <c r="S135" i="14"/>
  <c r="S133" i="14"/>
  <c r="S132" i="14"/>
  <c r="S131" i="14"/>
  <c r="S130" i="14"/>
  <c r="S129" i="14"/>
  <c r="S128" i="14"/>
  <c r="S118" i="14"/>
  <c r="S125" i="14"/>
  <c r="S123" i="14"/>
  <c r="S121" i="14"/>
  <c r="S120" i="14"/>
  <c r="S119" i="14"/>
  <c r="S117" i="14"/>
  <c r="S116" i="14"/>
  <c r="S115" i="14"/>
  <c r="S114" i="14"/>
  <c r="S113" i="14"/>
  <c r="S112" i="14"/>
  <c r="S111" i="14"/>
  <c r="S110" i="14"/>
  <c r="S109" i="14"/>
  <c r="S108" i="14"/>
  <c r="S107" i="14"/>
  <c r="S106" i="14"/>
  <c r="S105" i="14"/>
  <c r="S104" i="14"/>
  <c r="S103" i="14"/>
  <c r="S102" i="14"/>
  <c r="S101" i="14"/>
  <c r="S100" i="14"/>
  <c r="S99" i="14"/>
  <c r="S98" i="14"/>
  <c r="S97" i="14"/>
  <c r="S96" i="14"/>
  <c r="S93" i="14"/>
  <c r="S91" i="14"/>
  <c r="S90" i="14"/>
  <c r="S89" i="14"/>
  <c r="S88" i="14"/>
  <c r="S87" i="14"/>
  <c r="S86" i="14"/>
  <c r="S85" i="14"/>
  <c r="S84" i="14"/>
  <c r="S83" i="14"/>
  <c r="S82" i="14"/>
  <c r="S81" i="14"/>
  <c r="S80" i="14"/>
  <c r="S79" i="14"/>
  <c r="S78" i="14"/>
  <c r="S77" i="14"/>
  <c r="S76" i="14"/>
  <c r="S74" i="14"/>
  <c r="S73" i="14"/>
  <c r="S72" i="14"/>
  <c r="S71" i="14"/>
  <c r="S70" i="14"/>
  <c r="S68" i="14"/>
  <c r="S67" i="14"/>
  <c r="S66" i="14"/>
  <c r="S64" i="14"/>
  <c r="S63" i="14"/>
  <c r="S62" i="14"/>
  <c r="S61" i="14"/>
  <c r="S60" i="14"/>
  <c r="S59" i="14"/>
  <c r="S58" i="14"/>
  <c r="S57" i="14"/>
  <c r="S56" i="14"/>
  <c r="S55" i="14"/>
  <c r="S54" i="14"/>
  <c r="S53" i="14"/>
  <c r="S51" i="14"/>
  <c r="S50" i="14"/>
  <c r="S49" i="14"/>
  <c r="S48" i="14"/>
  <c r="S45" i="14"/>
  <c r="S43" i="14"/>
  <c r="S41" i="14"/>
  <c r="S40" i="14"/>
  <c r="S39" i="14"/>
  <c r="S38" i="14"/>
  <c r="S37" i="14"/>
  <c r="S36" i="14"/>
  <c r="S33" i="14"/>
  <c r="S32" i="14"/>
  <c r="S31" i="14"/>
  <c r="S29" i="14"/>
  <c r="S28" i="14"/>
  <c r="S27" i="14"/>
  <c r="S26" i="14"/>
  <c r="S25" i="14"/>
  <c r="S24" i="14"/>
  <c r="S23" i="14"/>
  <c r="S22" i="14"/>
  <c r="S21" i="14"/>
  <c r="S19" i="14"/>
  <c r="S18" i="14"/>
  <c r="S17" i="14"/>
  <c r="S16" i="14"/>
  <c r="S15" i="14"/>
  <c r="S14" i="14"/>
  <c r="Q300" i="14"/>
  <c r="Q299" i="14"/>
  <c r="Q298" i="14"/>
  <c r="Q297" i="14"/>
  <c r="Q296" i="14"/>
  <c r="Q295" i="14"/>
  <c r="Q294" i="14"/>
  <c r="Q293" i="14"/>
  <c r="Q292" i="14"/>
  <c r="Q291" i="14"/>
  <c r="Q290" i="14"/>
  <c r="Q287" i="14"/>
  <c r="Q285" i="14"/>
  <c r="Q284" i="14"/>
  <c r="Q283" i="14"/>
  <c r="Q281" i="14"/>
  <c r="Q280" i="14"/>
  <c r="Q279" i="14"/>
  <c r="Q278" i="14"/>
  <c r="Q277" i="14"/>
  <c r="Q276" i="14"/>
  <c r="Q275" i="14"/>
  <c r="Q274" i="14"/>
  <c r="Q273" i="14"/>
  <c r="Q272" i="14"/>
  <c r="Q271" i="14"/>
  <c r="Q269" i="14"/>
  <c r="Q268" i="14"/>
  <c r="Q267" i="14"/>
  <c r="Q266" i="14"/>
  <c r="Q265" i="14"/>
  <c r="Q263" i="14"/>
  <c r="Q262" i="14"/>
  <c r="Q261" i="14"/>
  <c r="Q260" i="14"/>
  <c r="Q259" i="14"/>
  <c r="Q258" i="14"/>
  <c r="Q257" i="14"/>
  <c r="Q256" i="14"/>
  <c r="Q254" i="14"/>
  <c r="Q253" i="14"/>
  <c r="Q252" i="14"/>
  <c r="Q251" i="14"/>
  <c r="Q250" i="14"/>
  <c r="Q249" i="14"/>
  <c r="Q248" i="14"/>
  <c r="Q247" i="14"/>
  <c r="Q246" i="14"/>
  <c r="Q243" i="14"/>
  <c r="Q240" i="14"/>
  <c r="Q239" i="14"/>
  <c r="Q238" i="14"/>
  <c r="Q237" i="14"/>
  <c r="Q236" i="14"/>
  <c r="Q234" i="14"/>
  <c r="Q233" i="14"/>
  <c r="Q232" i="14"/>
  <c r="Q231" i="14"/>
  <c r="Q229" i="14"/>
  <c r="Q226" i="14"/>
  <c r="Q225" i="14"/>
  <c r="Q224" i="14"/>
  <c r="Q223" i="14"/>
  <c r="Q222" i="14"/>
  <c r="Q221" i="14"/>
  <c r="Q220" i="14"/>
  <c r="Q219" i="14"/>
  <c r="Q218" i="14"/>
  <c r="Q217" i="14"/>
  <c r="Q216" i="14"/>
  <c r="Q215" i="14"/>
  <c r="Q214" i="14"/>
  <c r="Q213" i="14"/>
  <c r="Q212" i="14"/>
  <c r="Q211" i="14"/>
  <c r="Q210" i="14"/>
  <c r="Q209" i="14"/>
  <c r="Q208" i="14"/>
  <c r="Q207" i="14"/>
  <c r="Q206" i="14"/>
  <c r="Q204" i="14"/>
  <c r="Q203" i="14"/>
  <c r="Q202" i="14"/>
  <c r="Q201" i="14"/>
  <c r="Q199" i="14"/>
  <c r="Q198" i="14"/>
  <c r="Q197" i="14"/>
  <c r="Q196" i="14"/>
  <c r="Q195" i="14"/>
  <c r="Q194" i="14"/>
  <c r="Q193" i="14"/>
  <c r="Q192" i="14"/>
  <c r="Q191" i="14"/>
  <c r="Q190" i="14"/>
  <c r="Q189" i="14"/>
  <c r="Q188" i="14"/>
  <c r="Q187" i="14"/>
  <c r="Q186" i="14"/>
  <c r="Q185" i="14"/>
  <c r="Q184" i="14"/>
  <c r="Q183" i="14"/>
  <c r="Q182" i="14"/>
  <c r="Q181" i="14"/>
  <c r="Q180" i="14"/>
  <c r="Q179" i="14"/>
  <c r="Q178" i="14"/>
  <c r="Q175" i="14"/>
  <c r="Q174" i="14"/>
  <c r="Q173" i="14"/>
  <c r="Q172" i="14"/>
  <c r="Q171" i="14"/>
  <c r="Q170" i="14"/>
  <c r="Q169" i="14"/>
  <c r="Q167" i="14"/>
  <c r="Q166" i="14"/>
  <c r="Q165" i="14"/>
  <c r="Q164" i="14"/>
  <c r="Q163" i="14"/>
  <c r="Q162" i="14"/>
  <c r="Q161" i="14"/>
  <c r="Q160" i="14"/>
  <c r="Q159" i="14"/>
  <c r="Q157" i="14"/>
  <c r="Q156" i="14"/>
  <c r="Q154" i="14"/>
  <c r="Q153" i="14"/>
  <c r="Q152" i="14"/>
  <c r="Q151" i="14"/>
  <c r="Q149" i="14"/>
  <c r="Q148" i="14"/>
  <c r="Q147" i="14"/>
  <c r="Q146" i="14"/>
  <c r="Q144" i="14"/>
  <c r="Q143" i="14"/>
  <c r="Q142" i="14"/>
  <c r="Q141" i="14"/>
  <c r="Q139" i="14"/>
  <c r="Q138" i="14"/>
  <c r="Q137" i="14"/>
  <c r="Q136" i="14"/>
  <c r="Q135" i="14"/>
  <c r="Q133" i="14"/>
  <c r="Q132" i="14"/>
  <c r="Q131" i="14"/>
  <c r="Q130" i="14"/>
  <c r="Q129" i="14"/>
  <c r="Q128" i="14"/>
  <c r="Q118" i="14"/>
  <c r="Q125" i="14"/>
  <c r="Q123" i="14"/>
  <c r="Q121" i="14"/>
  <c r="Q120" i="14"/>
  <c r="Q119" i="14"/>
  <c r="Q117" i="14"/>
  <c r="Q116" i="14"/>
  <c r="Q115" i="14"/>
  <c r="Q114" i="14"/>
  <c r="Q113" i="14"/>
  <c r="Q112" i="14"/>
  <c r="Q111" i="14"/>
  <c r="Q110" i="14"/>
  <c r="Q109" i="14"/>
  <c r="Q108" i="14"/>
  <c r="Q107" i="14"/>
  <c r="Q106" i="14"/>
  <c r="Q105" i="14"/>
  <c r="Q104" i="14"/>
  <c r="Q103" i="14"/>
  <c r="Q102" i="14"/>
  <c r="Q101" i="14"/>
  <c r="Q100" i="14"/>
  <c r="Q99" i="14"/>
  <c r="Q98" i="14"/>
  <c r="Q97" i="14"/>
  <c r="Q96" i="14"/>
  <c r="Q93" i="14"/>
  <c r="Q91" i="14"/>
  <c r="Q90" i="14"/>
  <c r="Q89" i="14"/>
  <c r="Q88" i="14"/>
  <c r="Q87" i="14"/>
  <c r="Q86" i="14"/>
  <c r="Q85" i="14"/>
  <c r="Q84" i="14"/>
  <c r="Q83" i="14"/>
  <c r="Q82" i="14"/>
  <c r="Q81" i="14"/>
  <c r="Q80" i="14"/>
  <c r="Q79" i="14"/>
  <c r="Q78" i="14"/>
  <c r="Q77" i="14"/>
  <c r="Q76" i="14"/>
  <c r="Q74" i="14"/>
  <c r="Q73" i="14"/>
  <c r="Q72" i="14"/>
  <c r="Q71" i="14"/>
  <c r="Q70" i="14"/>
  <c r="Q68" i="14"/>
  <c r="Q67" i="14"/>
  <c r="Q66" i="14"/>
  <c r="Q64" i="14"/>
  <c r="Q63" i="14"/>
  <c r="Q62" i="14"/>
  <c r="Q61" i="14"/>
  <c r="Q60" i="14"/>
  <c r="Q59" i="14"/>
  <c r="Q58" i="14"/>
  <c r="Q57" i="14"/>
  <c r="Q56" i="14"/>
  <c r="Q55" i="14"/>
  <c r="Q54" i="14"/>
  <c r="Q53" i="14"/>
  <c r="Q51" i="14"/>
  <c r="Q50" i="14"/>
  <c r="Q49" i="14"/>
  <c r="Q48" i="14"/>
  <c r="Q45" i="14"/>
  <c r="Q43" i="14"/>
  <c r="Q41" i="14"/>
  <c r="Q40" i="14"/>
  <c r="Q39" i="14"/>
  <c r="Q38" i="14"/>
  <c r="Q37" i="14"/>
  <c r="Q36" i="14"/>
  <c r="Q33" i="14"/>
  <c r="Q32" i="14"/>
  <c r="Q31" i="14"/>
  <c r="Q29" i="14"/>
  <c r="Q28" i="14"/>
  <c r="Q27" i="14"/>
  <c r="Q26" i="14"/>
  <c r="Q25" i="14"/>
  <c r="Q24" i="14"/>
  <c r="Q23" i="14"/>
  <c r="Q22" i="14"/>
  <c r="Q21" i="14"/>
  <c r="Q19" i="14"/>
  <c r="Q18" i="14"/>
  <c r="Q17" i="14"/>
  <c r="Q15" i="14"/>
  <c r="Q14" i="14"/>
  <c r="T91" i="14"/>
  <c r="T357" i="14"/>
  <c r="T356" i="14"/>
  <c r="T355" i="14"/>
  <c r="T354" i="14"/>
  <c r="T353" i="14"/>
  <c r="T352" i="14"/>
  <c r="T351" i="14"/>
  <c r="T350" i="14"/>
  <c r="T349" i="14"/>
  <c r="T348" i="14"/>
  <c r="T347" i="14"/>
  <c r="T346" i="14"/>
  <c r="T345" i="14"/>
  <c r="T344" i="14"/>
  <c r="T343" i="14"/>
  <c r="T342" i="14"/>
  <c r="T341" i="14"/>
  <c r="T340" i="14"/>
  <c r="T339" i="14"/>
  <c r="T338" i="14"/>
  <c r="T337" i="14"/>
  <c r="T336" i="14"/>
  <c r="T335" i="14"/>
  <c r="T334" i="14"/>
  <c r="T333" i="14"/>
  <c r="T332" i="14"/>
  <c r="T331" i="14"/>
  <c r="T330" i="14"/>
  <c r="T329" i="14"/>
  <c r="T328" i="14"/>
  <c r="T327" i="14"/>
  <c r="T326" i="14"/>
  <c r="T325" i="14"/>
  <c r="T324" i="14"/>
  <c r="T323" i="14"/>
  <c r="T322" i="14"/>
  <c r="T321" i="14"/>
  <c r="T320" i="14"/>
  <c r="T319" i="14"/>
  <c r="T318" i="14"/>
  <c r="T317" i="14"/>
  <c r="T316" i="14"/>
  <c r="T315" i="14"/>
  <c r="T314" i="14"/>
  <c r="T313" i="14"/>
  <c r="T312" i="14"/>
  <c r="T311" i="14"/>
  <c r="T310" i="14"/>
  <c r="T309" i="14"/>
  <c r="T308" i="14"/>
  <c r="T307" i="14"/>
  <c r="T306" i="14"/>
  <c r="T305" i="14"/>
  <c r="T304" i="14"/>
  <c r="T303" i="14"/>
  <c r="T302" i="14"/>
  <c r="T301" i="14"/>
  <c r="T300" i="14"/>
  <c r="T299" i="14"/>
  <c r="T298" i="14"/>
  <c r="T297" i="14"/>
  <c r="T296" i="14"/>
  <c r="T295" i="14"/>
  <c r="T293" i="14"/>
  <c r="T292" i="14"/>
  <c r="T290" i="14"/>
  <c r="T289" i="14"/>
  <c r="T287" i="14"/>
  <c r="T285" i="14"/>
  <c r="T284" i="14"/>
  <c r="T283" i="14"/>
  <c r="T282" i="14"/>
  <c r="T281" i="14"/>
  <c r="T280" i="14"/>
  <c r="T279" i="14"/>
  <c r="T278" i="14"/>
  <c r="T277" i="14"/>
  <c r="T276" i="14"/>
  <c r="T275" i="14"/>
  <c r="T274" i="14"/>
  <c r="T273" i="14"/>
  <c r="T272" i="14"/>
  <c r="T269" i="14"/>
  <c r="T268" i="14"/>
  <c r="T267" i="14"/>
  <c r="T266" i="14"/>
  <c r="T265" i="14"/>
  <c r="T263" i="14"/>
  <c r="T262" i="14"/>
  <c r="T261" i="14"/>
  <c r="T260" i="14"/>
  <c r="T259" i="14"/>
  <c r="T258" i="14"/>
  <c r="T257" i="14"/>
  <c r="T256" i="14"/>
  <c r="T253" i="14"/>
  <c r="T252" i="14"/>
  <c r="T251" i="14"/>
  <c r="T250" i="14"/>
  <c r="T249" i="14"/>
  <c r="T248" i="14"/>
  <c r="T247" i="14"/>
  <c r="T246" i="14"/>
  <c r="T243" i="14"/>
  <c r="T240" i="14"/>
  <c r="T239" i="14"/>
  <c r="T238" i="14"/>
  <c r="T237" i="14"/>
  <c r="T234" i="14"/>
  <c r="T233" i="14"/>
  <c r="T232" i="14"/>
  <c r="T231" i="14"/>
  <c r="T226" i="14"/>
  <c r="T225" i="14"/>
  <c r="T224" i="14"/>
  <c r="T223" i="14"/>
  <c r="T222" i="14"/>
  <c r="T221" i="14"/>
  <c r="T220" i="14"/>
  <c r="T219" i="14"/>
  <c r="T218" i="14"/>
  <c r="T217" i="14"/>
  <c r="T216" i="14"/>
  <c r="T215" i="14"/>
  <c r="T214" i="14"/>
  <c r="T213" i="14"/>
  <c r="T212" i="14"/>
  <c r="T211" i="14"/>
  <c r="T210" i="14"/>
  <c r="T209" i="14"/>
  <c r="T208" i="14"/>
  <c r="T207" i="14"/>
  <c r="T206" i="14"/>
  <c r="T204" i="14"/>
  <c r="T203" i="14"/>
  <c r="T202" i="14"/>
  <c r="T201" i="14"/>
  <c r="T199" i="14"/>
  <c r="T198" i="14"/>
  <c r="T197" i="14"/>
  <c r="T196" i="14"/>
  <c r="T195" i="14"/>
  <c r="T194" i="14"/>
  <c r="T193" i="14"/>
  <c r="T192" i="14"/>
  <c r="T191" i="14"/>
  <c r="T190" i="14"/>
  <c r="T189" i="14"/>
  <c r="T188" i="14"/>
  <c r="T187" i="14"/>
  <c r="T186" i="14"/>
  <c r="T185" i="14"/>
  <c r="T184" i="14"/>
  <c r="T183" i="14"/>
  <c r="T182" i="14"/>
  <c r="T181" i="14"/>
  <c r="T180" i="14"/>
  <c r="T179" i="14"/>
  <c r="T178" i="14"/>
  <c r="T175" i="14"/>
  <c r="T174" i="14"/>
  <c r="T173" i="14"/>
  <c r="T172" i="14"/>
  <c r="T171" i="14"/>
  <c r="T170" i="14"/>
  <c r="T169" i="14"/>
  <c r="T167" i="14"/>
  <c r="T166" i="14"/>
  <c r="T165" i="14"/>
  <c r="T164" i="14"/>
  <c r="T163" i="14"/>
  <c r="T162" i="14"/>
  <c r="T161" i="14"/>
  <c r="T160" i="14"/>
  <c r="T159" i="14"/>
  <c r="T157" i="14"/>
  <c r="T156" i="14"/>
  <c r="T153" i="14"/>
  <c r="T152" i="14"/>
  <c r="T151" i="14"/>
  <c r="T149" i="14"/>
  <c r="T148" i="14"/>
  <c r="T147" i="14"/>
  <c r="T146" i="14"/>
  <c r="T144" i="14"/>
  <c r="T142" i="14"/>
  <c r="T141" i="14"/>
  <c r="T139" i="14"/>
  <c r="T138" i="14"/>
  <c r="T137" i="14"/>
  <c r="T136" i="14"/>
  <c r="T135" i="14"/>
  <c r="T133" i="14"/>
  <c r="T132" i="14"/>
  <c r="T131" i="14"/>
  <c r="T130" i="14"/>
  <c r="T129" i="14"/>
  <c r="T128" i="14"/>
  <c r="T118" i="14"/>
  <c r="T125" i="14"/>
  <c r="T123" i="14"/>
  <c r="T121" i="14"/>
  <c r="T120" i="14"/>
  <c r="T119" i="14"/>
  <c r="T117" i="14"/>
  <c r="T116" i="14"/>
  <c r="T115" i="14"/>
  <c r="T114" i="14"/>
  <c r="T113" i="14"/>
  <c r="T112" i="14"/>
  <c r="T111" i="14"/>
  <c r="T110" i="14"/>
  <c r="T108" i="14"/>
  <c r="T107" i="14"/>
  <c r="T106" i="14"/>
  <c r="T105" i="14"/>
  <c r="T104" i="14"/>
  <c r="T103" i="14"/>
  <c r="T102" i="14"/>
  <c r="T101" i="14"/>
  <c r="T100" i="14"/>
  <c r="T99" i="14"/>
  <c r="T98" i="14"/>
  <c r="T97" i="14"/>
  <c r="T96" i="14"/>
  <c r="T93" i="14"/>
  <c r="T89" i="14"/>
  <c r="T88" i="14"/>
  <c r="T87" i="14"/>
  <c r="T86" i="14"/>
  <c r="T85" i="14"/>
  <c r="T84" i="14"/>
  <c r="T83" i="14"/>
  <c r="T82" i="14"/>
  <c r="T81" i="14"/>
  <c r="T80" i="14"/>
  <c r="T79" i="14"/>
  <c r="T78" i="14"/>
  <c r="T77" i="14"/>
  <c r="T76" i="14"/>
  <c r="T74" i="14"/>
  <c r="T73" i="14"/>
  <c r="T72" i="14"/>
  <c r="T71" i="14"/>
  <c r="T70" i="14"/>
  <c r="T68" i="14"/>
  <c r="T67" i="14"/>
  <c r="T66" i="14"/>
  <c r="T64" i="14"/>
  <c r="T63" i="14"/>
  <c r="T62" i="14"/>
  <c r="T61" i="14"/>
  <c r="T60" i="14"/>
  <c r="T59" i="14"/>
  <c r="T58" i="14"/>
  <c r="T57" i="14"/>
  <c r="T56" i="14"/>
  <c r="T55" i="14"/>
  <c r="T54" i="14"/>
  <c r="T53" i="14"/>
  <c r="T51" i="14"/>
  <c r="T50" i="14"/>
  <c r="T49" i="14"/>
  <c r="T48" i="14"/>
  <c r="T45" i="14"/>
  <c r="T43" i="14"/>
  <c r="T41" i="14"/>
  <c r="T40" i="14"/>
  <c r="T39" i="14"/>
  <c r="T38" i="14"/>
  <c r="T37" i="14"/>
  <c r="T36" i="14"/>
  <c r="T33" i="14"/>
  <c r="T32" i="14"/>
  <c r="T31" i="14"/>
  <c r="T29" i="14"/>
  <c r="T28" i="14"/>
  <c r="T27" i="14"/>
  <c r="T26" i="14"/>
  <c r="T25" i="14"/>
  <c r="T24" i="14"/>
  <c r="T23" i="14"/>
  <c r="T22" i="14"/>
  <c r="T21" i="14"/>
  <c r="T19" i="14"/>
  <c r="T18" i="14"/>
  <c r="T17" i="14"/>
  <c r="T16" i="14"/>
  <c r="T15" i="14"/>
  <c r="T14" i="14"/>
  <c r="T112" i="13"/>
  <c r="S112" i="13"/>
  <c r="R112" i="13"/>
  <c r="Q112" i="13"/>
  <c r="T48" i="13"/>
  <c r="S48" i="13"/>
  <c r="R48" i="13"/>
  <c r="Q48" i="13"/>
  <c r="T50" i="13"/>
  <c r="S50" i="13"/>
  <c r="R50" i="13"/>
  <c r="Q50" i="13"/>
  <c r="T122" i="13"/>
  <c r="S122" i="13"/>
  <c r="R122" i="13"/>
  <c r="Q122" i="13"/>
  <c r="T114" i="13"/>
  <c r="S114" i="13"/>
  <c r="R114" i="13"/>
  <c r="Q114" i="13"/>
  <c r="T77" i="13"/>
  <c r="S77" i="13"/>
  <c r="R77" i="13"/>
  <c r="Q77" i="13"/>
  <c r="T54" i="13"/>
  <c r="S54" i="13"/>
  <c r="R54" i="13"/>
  <c r="Q54" i="13"/>
  <c r="T291" i="14" l="1"/>
  <c r="T109" i="14"/>
  <c r="T143" i="14"/>
  <c r="T90" i="14"/>
  <c r="T154" i="14"/>
  <c r="T271" i="14"/>
  <c r="T294" i="14"/>
  <c r="T254" i="14"/>
  <c r="T121" i="13"/>
  <c r="S121" i="13"/>
  <c r="R121" i="13"/>
  <c r="Q121" i="13"/>
  <c r="R87" i="13"/>
  <c r="R272" i="13"/>
  <c r="S272" i="13"/>
  <c r="R82" i="13"/>
  <c r="R220" i="13"/>
  <c r="R14" i="13"/>
  <c r="S87" i="13"/>
  <c r="T87" i="13" l="1"/>
  <c r="M159" i="13"/>
  <c r="G277" i="13" l="1"/>
  <c r="M172" i="13" l="1"/>
  <c r="K172" i="13"/>
  <c r="I172" i="13"/>
  <c r="G172" i="13"/>
  <c r="M65" i="13"/>
  <c r="K313" i="13"/>
  <c r="I313" i="13"/>
  <c r="G313" i="13"/>
  <c r="G141" i="13" l="1"/>
  <c r="T125" i="13"/>
  <c r="S125" i="13"/>
  <c r="R125" i="13"/>
  <c r="Q125" i="13"/>
  <c r="G237" i="13"/>
  <c r="I102" i="13" l="1"/>
  <c r="G102" i="13"/>
  <c r="T264" i="13" l="1"/>
  <c r="S264" i="13"/>
  <c r="R264" i="13"/>
  <c r="Q264" i="13"/>
  <c r="T273" i="13" l="1"/>
  <c r="S273" i="13"/>
  <c r="R273" i="13"/>
  <c r="Q273" i="13"/>
  <c r="T272" i="13"/>
  <c r="G267" i="13" l="1"/>
  <c r="T82" i="13" l="1"/>
  <c r="S82" i="13"/>
  <c r="I85" i="13" l="1"/>
  <c r="G282" i="13" l="1"/>
  <c r="I159" i="13" l="1"/>
  <c r="K159" i="13" l="1"/>
  <c r="I132" i="13"/>
  <c r="G132" i="13"/>
  <c r="T99" i="13" l="1"/>
  <c r="S99" i="13"/>
  <c r="R99" i="13"/>
  <c r="Q99" i="13"/>
  <c r="G201" i="13" l="1"/>
  <c r="I201" i="13"/>
  <c r="I197" i="13" l="1"/>
  <c r="I307" i="13" l="1"/>
  <c r="G307" i="13"/>
  <c r="G276" i="13" l="1"/>
  <c r="G243" i="13" l="1"/>
  <c r="S218" i="13" l="1"/>
  <c r="R218" i="13"/>
  <c r="Q218" i="13"/>
  <c r="S145" i="13"/>
  <c r="R145" i="13"/>
  <c r="Q145" i="13"/>
  <c r="T220" i="13" l="1"/>
  <c r="S220" i="13"/>
  <c r="S17" i="13"/>
  <c r="R17" i="13"/>
  <c r="Q17" i="13"/>
  <c r="S282" i="13"/>
  <c r="R282" i="13"/>
  <c r="Q282" i="13"/>
  <c r="S242" i="13"/>
  <c r="R242" i="13"/>
  <c r="Q242" i="13"/>
  <c r="S190" i="13"/>
  <c r="R190" i="13"/>
  <c r="Q190" i="13"/>
  <c r="S181" i="13"/>
  <c r="R181" i="13"/>
  <c r="Q181" i="13"/>
  <c r="S179" i="13"/>
  <c r="R179" i="13"/>
  <c r="Q179" i="13"/>
  <c r="S172" i="13"/>
  <c r="R172" i="13"/>
  <c r="Q172" i="13"/>
  <c r="S158" i="13"/>
  <c r="R158" i="13"/>
  <c r="Q158" i="13"/>
  <c r="S104" i="13"/>
  <c r="R104" i="13"/>
  <c r="Q104" i="13"/>
  <c r="S98" i="13"/>
  <c r="R98" i="13"/>
  <c r="Q98" i="13"/>
  <c r="S56" i="13"/>
  <c r="R56" i="13"/>
  <c r="Q56" i="13"/>
  <c r="T246" i="13" l="1"/>
  <c r="S246" i="13"/>
  <c r="R246" i="13"/>
  <c r="Q246" i="13"/>
  <c r="T37" i="13"/>
  <c r="S37" i="13"/>
  <c r="R37" i="13"/>
  <c r="Q37" i="13"/>
  <c r="G184" i="13" l="1"/>
  <c r="G34" i="13" l="1"/>
  <c r="T172" i="13" l="1"/>
  <c r="T56" i="13"/>
  <c r="T170" i="13" l="1"/>
  <c r="S170" i="13"/>
  <c r="R170" i="13"/>
  <c r="Q170" i="13"/>
  <c r="T221" i="13"/>
  <c r="S221" i="13"/>
  <c r="R221" i="13"/>
  <c r="Q221" i="13"/>
  <c r="T282" i="13" l="1"/>
  <c r="G239" i="13" l="1"/>
  <c r="G197" i="13" l="1"/>
  <c r="T98" i="13" l="1"/>
  <c r="Q15" i="11" l="1"/>
  <c r="R15" i="11"/>
  <c r="S15" i="11"/>
  <c r="T15" i="11"/>
  <c r="Q16" i="11"/>
  <c r="R16" i="11"/>
  <c r="S16" i="11"/>
  <c r="T16" i="11"/>
  <c r="Q17" i="11"/>
  <c r="R17" i="11"/>
  <c r="S17" i="11"/>
  <c r="T17" i="11"/>
  <c r="Q18" i="11"/>
  <c r="R18" i="11"/>
  <c r="S18" i="11"/>
  <c r="T18" i="11"/>
  <c r="Q19" i="11"/>
  <c r="R19" i="11"/>
  <c r="S19" i="11"/>
  <c r="T19" i="11"/>
  <c r="Q20" i="11"/>
  <c r="R20" i="11"/>
  <c r="S20" i="11"/>
  <c r="T20" i="11"/>
  <c r="Q21" i="11"/>
  <c r="R21" i="11"/>
  <c r="S21" i="11"/>
  <c r="T21" i="11"/>
  <c r="Q22" i="11"/>
  <c r="R22" i="11"/>
  <c r="S22" i="11"/>
  <c r="T22" i="11"/>
  <c r="Q23" i="11"/>
  <c r="R23" i="11"/>
  <c r="S23" i="11"/>
  <c r="T23" i="11"/>
  <c r="Q24" i="11"/>
  <c r="R24" i="11"/>
  <c r="S24" i="11"/>
  <c r="T24" i="11"/>
  <c r="Q25" i="11"/>
  <c r="R25" i="11"/>
  <c r="S25" i="11"/>
  <c r="T25" i="11"/>
  <c r="Q26" i="11"/>
  <c r="R26" i="11"/>
  <c r="S26" i="11"/>
  <c r="T26" i="11"/>
  <c r="Q27" i="11"/>
  <c r="R27" i="11"/>
  <c r="S27" i="11"/>
  <c r="T27" i="11"/>
  <c r="Q28" i="11"/>
  <c r="R28" i="11"/>
  <c r="S28" i="11"/>
  <c r="T28" i="11"/>
  <c r="Q29" i="11"/>
  <c r="R29" i="11"/>
  <c r="S29" i="11"/>
  <c r="T29" i="11"/>
  <c r="Q30" i="11"/>
  <c r="R30" i="11"/>
  <c r="S30" i="11"/>
  <c r="T30" i="11"/>
  <c r="Q31" i="11"/>
  <c r="R31" i="11"/>
  <c r="S31" i="11"/>
  <c r="T31" i="11"/>
  <c r="Q32" i="11"/>
  <c r="R32" i="11"/>
  <c r="S32" i="11"/>
  <c r="T32" i="11"/>
  <c r="Q33" i="11"/>
  <c r="R33" i="11"/>
  <c r="S33" i="11"/>
  <c r="T33" i="11"/>
  <c r="Q34" i="11"/>
  <c r="R34" i="11"/>
  <c r="S34" i="11"/>
  <c r="T34" i="11"/>
  <c r="Q35" i="11"/>
  <c r="R35" i="11"/>
  <c r="S35" i="11"/>
  <c r="T35" i="11"/>
  <c r="Q36" i="11"/>
  <c r="R36" i="11"/>
  <c r="S36" i="11"/>
  <c r="T36" i="11"/>
  <c r="Q37" i="11"/>
  <c r="R37" i="11"/>
  <c r="S37" i="11"/>
  <c r="T37" i="11"/>
  <c r="Q38" i="11"/>
  <c r="R38" i="11"/>
  <c r="S38" i="11"/>
  <c r="T38" i="11"/>
  <c r="Q39" i="11"/>
  <c r="R39" i="11"/>
  <c r="S39" i="11"/>
  <c r="T39" i="11"/>
  <c r="Q40" i="11"/>
  <c r="R40" i="11"/>
  <c r="S40" i="11"/>
  <c r="T40" i="11"/>
  <c r="Q41" i="11"/>
  <c r="R41" i="11"/>
  <c r="S41" i="11"/>
  <c r="T41" i="11"/>
  <c r="Q42" i="11"/>
  <c r="R42" i="11"/>
  <c r="S42" i="11"/>
  <c r="T42" i="11"/>
  <c r="Q43" i="11"/>
  <c r="R43" i="11"/>
  <c r="S43" i="11"/>
  <c r="T43" i="11"/>
  <c r="Q44" i="11"/>
  <c r="R44" i="11"/>
  <c r="S44" i="11"/>
  <c r="T44" i="11"/>
  <c r="Q45" i="11"/>
  <c r="R45" i="11"/>
  <c r="S45" i="11"/>
  <c r="T45" i="11"/>
  <c r="Q46" i="11"/>
  <c r="R46" i="11"/>
  <c r="S46" i="11"/>
  <c r="T46" i="11"/>
  <c r="Q47" i="11"/>
  <c r="R47" i="11"/>
  <c r="S47" i="11"/>
  <c r="T47" i="11"/>
  <c r="Q48" i="11"/>
  <c r="R48" i="11"/>
  <c r="S48" i="11"/>
  <c r="T48" i="11"/>
  <c r="Q49" i="11"/>
  <c r="R49" i="11"/>
  <c r="S49" i="11"/>
  <c r="T49" i="11"/>
  <c r="Q50" i="11"/>
  <c r="R50" i="11"/>
  <c r="S50" i="11"/>
  <c r="T50" i="11"/>
  <c r="Q51" i="11"/>
  <c r="R51" i="11"/>
  <c r="S51" i="11"/>
  <c r="T51" i="11"/>
  <c r="Q52" i="11"/>
  <c r="R52" i="11"/>
  <c r="S52" i="11"/>
  <c r="T52" i="11"/>
  <c r="Q53" i="11"/>
  <c r="R53" i="11"/>
  <c r="S53" i="11"/>
  <c r="T53" i="11"/>
  <c r="Q54" i="11"/>
  <c r="R54" i="11"/>
  <c r="S54" i="11"/>
  <c r="T54" i="11"/>
  <c r="Q55" i="11"/>
  <c r="R55" i="11"/>
  <c r="S55" i="11"/>
  <c r="T55" i="11"/>
  <c r="Q56" i="11"/>
  <c r="R56" i="11"/>
  <c r="S56" i="11"/>
  <c r="T56" i="11"/>
  <c r="Q57" i="11"/>
  <c r="R57" i="11"/>
  <c r="S57" i="11"/>
  <c r="T57" i="11"/>
  <c r="Q58" i="11"/>
  <c r="R58" i="11"/>
  <c r="S58" i="11"/>
  <c r="T58" i="11"/>
  <c r="Q59" i="11"/>
  <c r="R59" i="11"/>
  <c r="S59" i="11"/>
  <c r="T59" i="11"/>
  <c r="Q60" i="11"/>
  <c r="R60" i="11"/>
  <c r="S60" i="11"/>
  <c r="T60" i="11"/>
  <c r="Q61" i="11"/>
  <c r="R61" i="11"/>
  <c r="S61" i="11"/>
  <c r="Q62" i="11"/>
  <c r="R62" i="11"/>
  <c r="S62" i="11"/>
  <c r="T62" i="11"/>
  <c r="Q63" i="11"/>
  <c r="R63" i="11"/>
  <c r="S63" i="11"/>
  <c r="T63" i="11"/>
  <c r="Q64" i="11"/>
  <c r="R64" i="11"/>
  <c r="S64" i="11"/>
  <c r="T64" i="11"/>
  <c r="Q65" i="11"/>
  <c r="R65" i="11"/>
  <c r="S65" i="11"/>
  <c r="T65" i="11"/>
  <c r="Q66" i="11"/>
  <c r="R66" i="11"/>
  <c r="S66" i="11"/>
  <c r="T66" i="11"/>
  <c r="Q67" i="11"/>
  <c r="R67" i="11"/>
  <c r="S67" i="11"/>
  <c r="T67" i="11"/>
  <c r="Q68" i="11"/>
  <c r="R68" i="11"/>
  <c r="S68" i="11"/>
  <c r="T68" i="11"/>
  <c r="Q69" i="11"/>
  <c r="R69" i="11"/>
  <c r="S69" i="11"/>
  <c r="T69" i="11"/>
  <c r="Q70" i="11"/>
  <c r="R70" i="11"/>
  <c r="S70" i="11"/>
  <c r="T70" i="11"/>
  <c r="Q71" i="11"/>
  <c r="R71" i="11"/>
  <c r="S71" i="11"/>
  <c r="T71" i="11"/>
  <c r="Q72" i="11"/>
  <c r="R72" i="11"/>
  <c r="S72" i="11"/>
  <c r="T72" i="11"/>
  <c r="Q73" i="11"/>
  <c r="R73" i="11"/>
  <c r="S73" i="11"/>
  <c r="T73" i="11"/>
  <c r="Q74" i="11"/>
  <c r="R74" i="11"/>
  <c r="S74" i="11"/>
  <c r="T74" i="11"/>
  <c r="Q75" i="11"/>
  <c r="R75" i="11"/>
  <c r="S75" i="11"/>
  <c r="T75" i="11"/>
  <c r="Q76" i="11"/>
  <c r="R76" i="11"/>
  <c r="S76" i="11"/>
  <c r="T76" i="11"/>
  <c r="Q77" i="11"/>
  <c r="R77" i="11"/>
  <c r="S77" i="11"/>
  <c r="T77" i="11"/>
  <c r="Q78" i="11"/>
  <c r="R78" i="11"/>
  <c r="S78" i="11"/>
  <c r="T78" i="11"/>
  <c r="Q79" i="11"/>
  <c r="R79" i="11"/>
  <c r="Q80" i="11"/>
  <c r="R80" i="11"/>
  <c r="S80" i="11"/>
  <c r="T80" i="11"/>
  <c r="Q81" i="11"/>
  <c r="R81" i="11"/>
  <c r="S81" i="11"/>
  <c r="T81" i="11"/>
  <c r="Q82" i="11"/>
  <c r="R82" i="11"/>
  <c r="S82" i="11"/>
  <c r="T82" i="11"/>
  <c r="Q83" i="11"/>
  <c r="R83" i="11"/>
  <c r="S83" i="11"/>
  <c r="T83" i="11"/>
  <c r="Q84" i="11"/>
  <c r="R84" i="11"/>
  <c r="S84" i="11"/>
  <c r="T84" i="11"/>
  <c r="Q85" i="11"/>
  <c r="R85" i="11"/>
  <c r="S85" i="11"/>
  <c r="T85" i="11"/>
  <c r="Q86" i="11"/>
  <c r="R86" i="11"/>
  <c r="S86" i="11"/>
  <c r="T86" i="11"/>
  <c r="Q87" i="11"/>
  <c r="R87" i="11"/>
  <c r="S87" i="11"/>
  <c r="T87" i="11"/>
  <c r="Q88" i="11"/>
  <c r="R88" i="11"/>
  <c r="S88" i="11"/>
  <c r="T88" i="11"/>
  <c r="Q89" i="11"/>
  <c r="R89" i="11"/>
  <c r="S89" i="11"/>
  <c r="T89" i="11"/>
  <c r="Q90" i="11"/>
  <c r="R90" i="11"/>
  <c r="S90" i="11"/>
  <c r="T90" i="11"/>
  <c r="Q91" i="11"/>
  <c r="R91" i="11"/>
  <c r="S91" i="11"/>
  <c r="T91" i="11"/>
  <c r="Q92" i="11"/>
  <c r="R92" i="11"/>
  <c r="S92" i="11"/>
  <c r="T92" i="11"/>
  <c r="Q93" i="11"/>
  <c r="R93" i="11"/>
  <c r="S93" i="11"/>
  <c r="T93" i="11"/>
  <c r="Q94" i="11"/>
  <c r="R94" i="11"/>
  <c r="S94" i="11"/>
  <c r="T94" i="11"/>
  <c r="Q95" i="11"/>
  <c r="R95" i="11"/>
  <c r="S95" i="11"/>
  <c r="T95" i="11"/>
  <c r="Q96" i="11"/>
  <c r="R96" i="11"/>
  <c r="S96" i="11"/>
  <c r="T96" i="11"/>
  <c r="Q97" i="11"/>
  <c r="R97" i="11"/>
  <c r="S97" i="11"/>
  <c r="T97" i="11"/>
  <c r="Q98" i="11"/>
  <c r="R98" i="11"/>
  <c r="S98" i="11"/>
  <c r="T98" i="11"/>
  <c r="Q99" i="11"/>
  <c r="R99" i="11"/>
  <c r="S99" i="11"/>
  <c r="T99" i="11"/>
  <c r="Q100" i="11"/>
  <c r="R100" i="11"/>
  <c r="S100" i="11"/>
  <c r="T100" i="11"/>
  <c r="Q101" i="11"/>
  <c r="R101" i="11"/>
  <c r="S101" i="11"/>
  <c r="T101" i="11"/>
  <c r="Q102" i="11"/>
  <c r="R102" i="11"/>
  <c r="S102" i="11"/>
  <c r="T102" i="11"/>
  <c r="Q103" i="11"/>
  <c r="R103" i="11"/>
  <c r="S103" i="11"/>
  <c r="T103" i="11"/>
  <c r="Q104" i="11"/>
  <c r="R104" i="11"/>
  <c r="S104" i="11"/>
  <c r="T104" i="11"/>
  <c r="Q105" i="11"/>
  <c r="R105" i="11"/>
  <c r="S105" i="11"/>
  <c r="T105" i="11"/>
  <c r="Q106" i="11"/>
  <c r="R106" i="11"/>
  <c r="S106" i="11"/>
  <c r="T106" i="11"/>
  <c r="Q107" i="11"/>
  <c r="R107" i="11"/>
  <c r="S107" i="11"/>
  <c r="T107" i="11"/>
  <c r="Q108" i="11"/>
  <c r="R108" i="11"/>
  <c r="S108" i="11"/>
  <c r="T108" i="11"/>
  <c r="Q109" i="11"/>
  <c r="R109" i="11"/>
  <c r="S109" i="11"/>
  <c r="T109" i="11"/>
  <c r="Q110" i="11"/>
  <c r="R110" i="11"/>
  <c r="S110" i="11"/>
  <c r="T110" i="11"/>
  <c r="Q111" i="11"/>
  <c r="R111" i="11"/>
  <c r="S111" i="11"/>
  <c r="T111" i="11"/>
  <c r="Q112" i="11"/>
  <c r="R112" i="11"/>
  <c r="S112" i="11"/>
  <c r="T112" i="11"/>
  <c r="Q113" i="11"/>
  <c r="R113" i="11"/>
  <c r="S113" i="11"/>
  <c r="T113" i="11"/>
  <c r="Q114" i="11"/>
  <c r="R114" i="11"/>
  <c r="S114" i="11"/>
  <c r="T114" i="11"/>
  <c r="Q115" i="11"/>
  <c r="R115" i="11"/>
  <c r="S115" i="11"/>
  <c r="T115" i="11"/>
  <c r="Q116" i="11"/>
  <c r="R116" i="11"/>
  <c r="S116" i="11"/>
  <c r="T116" i="11"/>
  <c r="Q117" i="11"/>
  <c r="R117" i="11"/>
  <c r="S117" i="11"/>
  <c r="T117" i="11"/>
  <c r="Q118" i="11"/>
  <c r="R118" i="11"/>
  <c r="S118" i="11"/>
  <c r="T118" i="11"/>
  <c r="Q119" i="11"/>
  <c r="R119" i="11"/>
  <c r="S119" i="11"/>
  <c r="T119" i="11"/>
  <c r="Q120" i="11"/>
  <c r="R120" i="11"/>
  <c r="S120" i="11"/>
  <c r="T120" i="11"/>
  <c r="Q121" i="11"/>
  <c r="R121" i="11"/>
  <c r="S121" i="11"/>
  <c r="T121" i="11"/>
  <c r="Q122" i="11"/>
  <c r="R122" i="11"/>
  <c r="S122" i="11"/>
  <c r="T122" i="11"/>
  <c r="Q123" i="11"/>
  <c r="R123" i="11"/>
  <c r="S123" i="11"/>
  <c r="T123" i="11"/>
  <c r="Q124" i="11"/>
  <c r="R124" i="11"/>
  <c r="S124" i="11"/>
  <c r="T124" i="11"/>
  <c r="Q125" i="11"/>
  <c r="R125" i="11"/>
  <c r="S125" i="11"/>
  <c r="T125" i="11"/>
  <c r="Q126" i="11"/>
  <c r="R126" i="11"/>
  <c r="S126" i="11"/>
  <c r="T126" i="11"/>
  <c r="Q127" i="11"/>
  <c r="R127" i="11"/>
  <c r="S127" i="11"/>
  <c r="T127" i="11"/>
  <c r="Q128" i="11"/>
  <c r="R128" i="11"/>
  <c r="S128" i="11"/>
  <c r="T128" i="11"/>
  <c r="Q129" i="11"/>
  <c r="R129" i="11"/>
  <c r="S129" i="11"/>
  <c r="T129" i="11"/>
  <c r="Q130" i="11"/>
  <c r="R130" i="11"/>
  <c r="S130" i="11"/>
  <c r="T130" i="11"/>
  <c r="Q131" i="11"/>
  <c r="R131" i="11"/>
  <c r="S131" i="11"/>
  <c r="T131" i="11"/>
  <c r="Q132" i="11"/>
  <c r="R132" i="11"/>
  <c r="S132" i="11"/>
  <c r="T132" i="11"/>
  <c r="Q133" i="11"/>
  <c r="R133" i="11"/>
  <c r="S133" i="11"/>
  <c r="T133" i="11"/>
  <c r="Q134" i="11"/>
  <c r="R134" i="11"/>
  <c r="S134" i="11"/>
  <c r="T134" i="11"/>
  <c r="Q135" i="11"/>
  <c r="R135" i="11"/>
  <c r="S135" i="11"/>
  <c r="T135" i="11"/>
  <c r="Q136" i="11"/>
  <c r="R136" i="11"/>
  <c r="S136" i="11"/>
  <c r="T136" i="11"/>
  <c r="Q137" i="11"/>
  <c r="Q138" i="11"/>
  <c r="R138" i="11"/>
  <c r="S138" i="11"/>
  <c r="T138" i="11"/>
  <c r="Q139" i="11"/>
  <c r="R139" i="11"/>
  <c r="S139" i="11"/>
  <c r="T139" i="11"/>
  <c r="Q140" i="11"/>
  <c r="R140" i="11"/>
  <c r="S140" i="11"/>
  <c r="T140" i="11"/>
  <c r="Q141" i="11"/>
  <c r="R141" i="11"/>
  <c r="S141" i="11"/>
  <c r="T141" i="11"/>
  <c r="Q142" i="11"/>
  <c r="R142" i="11"/>
  <c r="S142" i="11"/>
  <c r="T142" i="11"/>
  <c r="Q143" i="11"/>
  <c r="R143" i="11"/>
  <c r="S143" i="11"/>
  <c r="T143" i="11"/>
  <c r="Q144" i="11"/>
  <c r="R144" i="11"/>
  <c r="S144" i="11"/>
  <c r="T144" i="11"/>
  <c r="Q145" i="11"/>
  <c r="R145" i="11"/>
  <c r="S145" i="11"/>
  <c r="T145" i="11"/>
  <c r="Q146" i="11"/>
  <c r="R146" i="11"/>
  <c r="S146" i="11"/>
  <c r="T146" i="11"/>
  <c r="Q147" i="11"/>
  <c r="R147" i="11"/>
  <c r="S147" i="11"/>
  <c r="T147" i="11"/>
  <c r="Q148" i="11"/>
  <c r="R148" i="11"/>
  <c r="S148" i="11"/>
  <c r="T148" i="11"/>
  <c r="Q149" i="11"/>
  <c r="R149" i="11"/>
  <c r="S149" i="11"/>
  <c r="T149" i="11"/>
  <c r="Q150" i="11"/>
  <c r="R150" i="11"/>
  <c r="S150" i="11"/>
  <c r="T150" i="11"/>
  <c r="Q151" i="11"/>
  <c r="R151" i="11"/>
  <c r="S151" i="11"/>
  <c r="T151" i="11"/>
  <c r="Q152" i="11"/>
  <c r="R152" i="11"/>
  <c r="S152" i="11"/>
  <c r="T152" i="11"/>
  <c r="Q153" i="11"/>
  <c r="R153" i="11"/>
  <c r="S153" i="11"/>
  <c r="T153" i="11"/>
  <c r="Q154" i="11"/>
  <c r="R154" i="11"/>
  <c r="S154" i="11"/>
  <c r="T154" i="11"/>
  <c r="Q155" i="11"/>
  <c r="Q156" i="11"/>
  <c r="Q157" i="11"/>
  <c r="R157" i="11"/>
  <c r="S157" i="11"/>
  <c r="T157" i="11"/>
  <c r="Q158" i="11"/>
  <c r="R158" i="11"/>
  <c r="S158" i="11"/>
  <c r="T158" i="11"/>
  <c r="Q159" i="11"/>
  <c r="R159" i="11"/>
  <c r="S159" i="11"/>
  <c r="T159" i="11"/>
  <c r="Q160" i="11"/>
  <c r="R160" i="11"/>
  <c r="S160" i="11"/>
  <c r="T160" i="11"/>
  <c r="Q161" i="11"/>
  <c r="Q162" i="11"/>
  <c r="Q163" i="11"/>
  <c r="R163" i="11"/>
  <c r="S163" i="11"/>
  <c r="T163" i="11"/>
  <c r="Q164" i="11"/>
  <c r="R164" i="11"/>
  <c r="S164" i="11"/>
  <c r="T164" i="11"/>
  <c r="Q165" i="11"/>
  <c r="R165" i="11"/>
  <c r="S165" i="11"/>
  <c r="T165" i="11"/>
  <c r="Q166" i="11"/>
  <c r="R166" i="11"/>
  <c r="S166" i="11"/>
  <c r="T166" i="11"/>
  <c r="Q167" i="11"/>
  <c r="R167" i="11"/>
  <c r="S167" i="11"/>
  <c r="T167" i="11"/>
  <c r="Q168" i="11"/>
  <c r="R168" i="11"/>
  <c r="S168" i="11"/>
  <c r="T168" i="11"/>
  <c r="Q169" i="11"/>
  <c r="R169" i="11"/>
  <c r="S169" i="11"/>
  <c r="T169" i="11"/>
  <c r="Q170" i="11"/>
  <c r="R170" i="11"/>
  <c r="S170" i="11"/>
  <c r="T170" i="11"/>
  <c r="Q171" i="11"/>
  <c r="R171" i="11"/>
  <c r="S171" i="11"/>
  <c r="T171" i="11"/>
  <c r="Q172" i="11"/>
  <c r="R172" i="11"/>
  <c r="S172" i="11"/>
  <c r="T172" i="11"/>
  <c r="Q173" i="11"/>
  <c r="R173" i="11"/>
  <c r="S173" i="11"/>
  <c r="T173" i="11"/>
  <c r="Q174" i="11"/>
  <c r="R174" i="11"/>
  <c r="S174" i="11"/>
  <c r="T174" i="11"/>
  <c r="Q175" i="11"/>
  <c r="R175" i="11"/>
  <c r="S175" i="11"/>
  <c r="T175" i="11"/>
  <c r="Q176" i="11"/>
  <c r="R176" i="11"/>
  <c r="S176" i="11"/>
  <c r="T176" i="11"/>
  <c r="Q177" i="11"/>
  <c r="R177" i="11"/>
  <c r="S177" i="11"/>
  <c r="T177" i="11"/>
  <c r="Q178" i="11"/>
  <c r="R178" i="11"/>
  <c r="S178" i="11"/>
  <c r="T178" i="11"/>
  <c r="Q179" i="11"/>
  <c r="R179" i="11"/>
  <c r="S179" i="11"/>
  <c r="T179" i="11"/>
  <c r="Q180" i="11"/>
  <c r="R180" i="11"/>
  <c r="Q181" i="11"/>
  <c r="R181" i="11"/>
  <c r="S181" i="11"/>
  <c r="T181" i="11"/>
  <c r="Q182" i="11"/>
  <c r="R182" i="11"/>
  <c r="S182" i="11"/>
  <c r="T182" i="11"/>
  <c r="Q183" i="11"/>
  <c r="R183" i="11"/>
  <c r="S183" i="11"/>
  <c r="T183" i="11"/>
  <c r="Q184" i="11"/>
  <c r="R184" i="11"/>
  <c r="S184" i="11"/>
  <c r="T184" i="11"/>
  <c r="Q185" i="11"/>
  <c r="R185" i="11"/>
  <c r="S185" i="11"/>
  <c r="T185" i="11"/>
  <c r="Q186" i="11"/>
  <c r="R186" i="11"/>
  <c r="S186" i="11"/>
  <c r="T186" i="11"/>
  <c r="Q187" i="11"/>
  <c r="R187" i="11"/>
  <c r="S187" i="11"/>
  <c r="T187" i="11"/>
  <c r="Q188" i="11"/>
  <c r="R188" i="11"/>
  <c r="S188" i="11"/>
  <c r="T188" i="11"/>
  <c r="Q189" i="11"/>
  <c r="R189" i="11"/>
  <c r="S189" i="11"/>
  <c r="T189" i="11"/>
  <c r="Q190" i="11"/>
  <c r="R190" i="11"/>
  <c r="S190" i="11"/>
  <c r="T190" i="11"/>
  <c r="Q191" i="11"/>
  <c r="R191" i="11"/>
  <c r="S191" i="11"/>
  <c r="T191" i="11"/>
  <c r="Q192" i="11"/>
  <c r="R192" i="11"/>
  <c r="S192" i="11"/>
  <c r="T192" i="11"/>
  <c r="Q193" i="11"/>
  <c r="R193" i="11"/>
  <c r="S193" i="11"/>
  <c r="T193" i="11"/>
  <c r="Q194" i="11"/>
  <c r="R194" i="11"/>
  <c r="S194" i="11"/>
  <c r="T194" i="11"/>
  <c r="Q195" i="11"/>
  <c r="R195" i="11"/>
  <c r="S195" i="11"/>
  <c r="T195" i="11"/>
  <c r="Q196" i="11"/>
  <c r="R196" i="11"/>
  <c r="S196" i="11"/>
  <c r="T196" i="11"/>
  <c r="Q197" i="11"/>
  <c r="R197" i="11"/>
  <c r="S197" i="11"/>
  <c r="T197" i="11"/>
  <c r="Q198" i="11"/>
  <c r="R198" i="11"/>
  <c r="S198" i="11"/>
  <c r="T198" i="11"/>
  <c r="Q199" i="11"/>
  <c r="R199" i="11"/>
  <c r="S199" i="11"/>
  <c r="T199" i="11"/>
  <c r="Q200" i="11"/>
  <c r="R200" i="11"/>
  <c r="S200" i="11"/>
  <c r="T200" i="11"/>
  <c r="Q201" i="11"/>
  <c r="R201" i="11"/>
  <c r="S201" i="11"/>
  <c r="T201" i="11"/>
  <c r="Q202" i="11"/>
  <c r="R202" i="11"/>
  <c r="S202" i="11"/>
  <c r="T202" i="11"/>
  <c r="Q203" i="11"/>
  <c r="R203" i="11"/>
  <c r="S203" i="11"/>
  <c r="T203" i="11"/>
  <c r="Q204" i="11"/>
  <c r="R204" i="11"/>
  <c r="S204" i="11"/>
  <c r="T204" i="11"/>
  <c r="Q205" i="11"/>
  <c r="R205" i="11"/>
  <c r="S205" i="11"/>
  <c r="T205" i="11"/>
  <c r="Q206" i="11"/>
  <c r="R206" i="11"/>
  <c r="S206" i="11"/>
  <c r="T206" i="11"/>
  <c r="Q207" i="11"/>
  <c r="R207" i="11"/>
  <c r="S207" i="11"/>
  <c r="T207" i="11"/>
  <c r="Q208" i="11"/>
  <c r="R208" i="11"/>
  <c r="S208" i="11"/>
  <c r="T208" i="11"/>
  <c r="Q209" i="11"/>
  <c r="R209" i="11"/>
  <c r="S209" i="11"/>
  <c r="T209" i="11"/>
  <c r="Q210" i="11"/>
  <c r="R210" i="11"/>
  <c r="S210" i="11"/>
  <c r="T210" i="11"/>
  <c r="Q211" i="11"/>
  <c r="R211" i="11"/>
  <c r="S211" i="11"/>
  <c r="T211" i="11"/>
  <c r="Q212" i="11"/>
  <c r="R212" i="11"/>
  <c r="S212" i="11"/>
  <c r="T212" i="11"/>
  <c r="Q213" i="11"/>
  <c r="R213" i="11"/>
  <c r="S213" i="11"/>
  <c r="T213" i="11"/>
  <c r="Q214" i="11"/>
  <c r="R214" i="11"/>
  <c r="S214" i="11"/>
  <c r="T214" i="11"/>
  <c r="Q215" i="11"/>
  <c r="R215" i="11"/>
  <c r="S215" i="11"/>
  <c r="T215" i="11"/>
  <c r="Q216" i="11"/>
  <c r="R216" i="11"/>
  <c r="S216" i="11"/>
  <c r="T216" i="11"/>
  <c r="Q217" i="11"/>
  <c r="R217" i="11"/>
  <c r="S217" i="11"/>
  <c r="T217" i="11"/>
  <c r="Q218" i="11"/>
  <c r="Q219" i="11"/>
  <c r="Q220" i="11"/>
  <c r="Q221" i="11"/>
  <c r="R221" i="11"/>
  <c r="S221" i="11"/>
  <c r="T221" i="11"/>
  <c r="Q222" i="11"/>
  <c r="R222" i="11"/>
  <c r="S222" i="11"/>
  <c r="T222" i="11"/>
  <c r="Q223" i="11"/>
  <c r="R223" i="11"/>
  <c r="S223" i="11"/>
  <c r="T223" i="11"/>
  <c r="Q224" i="11"/>
  <c r="R224" i="11"/>
  <c r="S224" i="11"/>
  <c r="T224" i="11"/>
  <c r="Q225" i="11"/>
  <c r="R225" i="11"/>
  <c r="S225" i="11"/>
  <c r="T225" i="11"/>
  <c r="Q226" i="11"/>
  <c r="R226" i="11"/>
  <c r="S226" i="11"/>
  <c r="T226" i="11"/>
  <c r="Q227" i="11"/>
  <c r="R227" i="11"/>
  <c r="S227" i="11"/>
  <c r="T227" i="11"/>
  <c r="Q228" i="11"/>
  <c r="R228" i="11"/>
  <c r="S228" i="11"/>
  <c r="T228" i="11"/>
  <c r="Q229" i="11"/>
  <c r="R229" i="11"/>
  <c r="S229" i="11"/>
  <c r="T229" i="11"/>
  <c r="Q230" i="11"/>
  <c r="R230" i="11"/>
  <c r="S230" i="11"/>
  <c r="T230" i="11"/>
  <c r="Q231" i="11"/>
  <c r="R231" i="11"/>
  <c r="S231" i="11"/>
  <c r="T231" i="11"/>
  <c r="Q232" i="11"/>
  <c r="R232" i="11"/>
  <c r="S232" i="11"/>
  <c r="T232" i="11"/>
  <c r="Q233" i="11"/>
  <c r="R233" i="11"/>
  <c r="S233" i="11"/>
  <c r="T233" i="11"/>
  <c r="Q234" i="11"/>
  <c r="R234" i="11"/>
  <c r="S234" i="11"/>
  <c r="T234" i="11"/>
  <c r="Q235" i="11"/>
  <c r="R235" i="11"/>
  <c r="S235" i="11"/>
  <c r="T235" i="11"/>
  <c r="Q236" i="11"/>
  <c r="R236" i="11"/>
  <c r="S236" i="11"/>
  <c r="T236" i="11"/>
  <c r="Q237" i="11"/>
  <c r="R237" i="11"/>
  <c r="S237" i="11"/>
  <c r="T237" i="11"/>
  <c r="Q238" i="11"/>
  <c r="R238" i="11"/>
  <c r="S238" i="11"/>
  <c r="T238" i="11"/>
  <c r="Q239" i="11"/>
  <c r="R239" i="11"/>
  <c r="S239" i="11"/>
  <c r="T239" i="11"/>
  <c r="Q240" i="11"/>
  <c r="R240" i="11"/>
  <c r="S240" i="11"/>
  <c r="T240" i="11"/>
  <c r="Q241" i="11"/>
  <c r="R241" i="11"/>
  <c r="S241" i="11"/>
  <c r="T241" i="11"/>
  <c r="Q242" i="11"/>
  <c r="R242" i="11"/>
  <c r="S242" i="11"/>
  <c r="T242" i="11"/>
  <c r="Q243" i="11"/>
  <c r="R243" i="11"/>
  <c r="S243" i="11"/>
  <c r="T243" i="11"/>
  <c r="Q244" i="11"/>
  <c r="R244" i="11"/>
  <c r="S244" i="11"/>
  <c r="T244" i="11"/>
  <c r="Q245" i="11"/>
  <c r="R245" i="11"/>
  <c r="S245" i="11"/>
  <c r="T245" i="11"/>
  <c r="Q246" i="11"/>
  <c r="R246" i="11"/>
  <c r="S246" i="11"/>
  <c r="T246" i="11"/>
  <c r="Q247" i="11"/>
  <c r="Q248" i="11"/>
  <c r="R248" i="11"/>
  <c r="S248" i="11"/>
  <c r="T248" i="11"/>
  <c r="Q249" i="11"/>
  <c r="R249" i="11"/>
  <c r="S249" i="11"/>
  <c r="T249" i="11"/>
  <c r="Q250" i="11"/>
  <c r="R250" i="11"/>
  <c r="S250" i="11"/>
  <c r="T250" i="11"/>
  <c r="Q251" i="11"/>
  <c r="R251" i="11"/>
  <c r="S251" i="11"/>
  <c r="T251" i="11"/>
  <c r="Q252" i="11"/>
  <c r="Q253" i="11"/>
  <c r="R253" i="11"/>
  <c r="S253" i="11"/>
  <c r="T253" i="11"/>
  <c r="Q254" i="11"/>
  <c r="R254" i="11"/>
  <c r="S254" i="11"/>
  <c r="T254" i="11"/>
  <c r="Q255" i="11"/>
  <c r="R255" i="11"/>
  <c r="S255" i="11"/>
  <c r="T255" i="11"/>
  <c r="S14" i="11"/>
  <c r="R14" i="11"/>
  <c r="Q14" i="11"/>
  <c r="T232" i="13" l="1"/>
  <c r="G255" i="13" l="1"/>
  <c r="T242" i="13" l="1"/>
  <c r="T190" i="13"/>
  <c r="T179" i="13"/>
  <c r="T181" i="13"/>
  <c r="T145" i="13"/>
  <c r="T158" i="13"/>
  <c r="T97" i="13"/>
  <c r="G85" i="13" l="1"/>
  <c r="T231" i="13" l="1"/>
  <c r="G159" i="13" l="1"/>
  <c r="T279" i="13" l="1"/>
  <c r="S279" i="13"/>
  <c r="R279" i="13"/>
  <c r="Q279" i="13"/>
  <c r="T269" i="13"/>
  <c r="S269" i="13"/>
  <c r="R269" i="13"/>
  <c r="Q269" i="13"/>
  <c r="T218" i="13" l="1"/>
  <c r="T217" i="13"/>
  <c r="S217" i="13"/>
  <c r="R217" i="13"/>
  <c r="Q217" i="13"/>
  <c r="T188" i="13"/>
  <c r="S188" i="13"/>
  <c r="R188" i="13"/>
  <c r="Q188" i="13"/>
  <c r="T183" i="13" l="1"/>
  <c r="S183" i="13"/>
  <c r="R183" i="13"/>
  <c r="Q183" i="13"/>
  <c r="T233" i="13" l="1"/>
  <c r="M270" i="11" l="1"/>
  <c r="K270" i="11"/>
  <c r="I270" i="11"/>
  <c r="G270" i="11"/>
  <c r="I247" i="11" l="1"/>
  <c r="I252" i="11" l="1"/>
  <c r="G252" i="11"/>
  <c r="R252" i="11" l="1"/>
  <c r="S252" i="11"/>
  <c r="T252" i="11"/>
  <c r="T17" i="13"/>
  <c r="T340" i="13" l="1"/>
  <c r="T339" i="13"/>
  <c r="T338" i="13"/>
  <c r="T337" i="13"/>
  <c r="T336" i="13"/>
  <c r="T335" i="13"/>
  <c r="T334" i="13"/>
  <c r="T333" i="13"/>
  <c r="T332" i="13"/>
  <c r="T331" i="13"/>
  <c r="T330" i="13"/>
  <c r="T329" i="13"/>
  <c r="T328" i="13"/>
  <c r="T327" i="13"/>
  <c r="T326" i="13"/>
  <c r="T325" i="13"/>
  <c r="T324" i="13"/>
  <c r="T323" i="13"/>
  <c r="T322" i="13"/>
  <c r="T321" i="13"/>
  <c r="T320" i="13"/>
  <c r="T319" i="13"/>
  <c r="T318" i="13"/>
  <c r="T317" i="13"/>
  <c r="T316" i="13"/>
  <c r="T315" i="13"/>
  <c r="T314" i="13"/>
  <c r="T313" i="13"/>
  <c r="T312" i="13"/>
  <c r="T311" i="13"/>
  <c r="T310" i="13"/>
  <c r="T309" i="13"/>
  <c r="T308" i="13"/>
  <c r="T307" i="13"/>
  <c r="T306" i="13"/>
  <c r="T305" i="13"/>
  <c r="T304" i="13"/>
  <c r="T303" i="13"/>
  <c r="T302" i="13"/>
  <c r="T301" i="13"/>
  <c r="T300" i="13"/>
  <c r="T299" i="13"/>
  <c r="T298" i="13"/>
  <c r="T297" i="13"/>
  <c r="T296" i="13"/>
  <c r="T295" i="13"/>
  <c r="T294" i="13"/>
  <c r="T293" i="13"/>
  <c r="T292" i="13"/>
  <c r="T291" i="13"/>
  <c r="T290" i="13"/>
  <c r="T289" i="13"/>
  <c r="T288" i="13"/>
  <c r="T287" i="13"/>
  <c r="T286" i="13"/>
  <c r="T285" i="13"/>
  <c r="T284" i="13"/>
  <c r="T283" i="13"/>
  <c r="S283" i="13"/>
  <c r="R283" i="13"/>
  <c r="Q283" i="13"/>
  <c r="T281" i="13"/>
  <c r="S281" i="13"/>
  <c r="R281" i="13"/>
  <c r="Q281" i="13"/>
  <c r="T280" i="13"/>
  <c r="S280" i="13"/>
  <c r="R280" i="13"/>
  <c r="Q280" i="13"/>
  <c r="T278" i="13"/>
  <c r="S278" i="13"/>
  <c r="R278" i="13"/>
  <c r="Q278" i="13"/>
  <c r="T277" i="13"/>
  <c r="S277" i="13"/>
  <c r="R277" i="13"/>
  <c r="Q277" i="13"/>
  <c r="T276" i="13"/>
  <c r="S276" i="13"/>
  <c r="R276" i="13"/>
  <c r="Q276" i="13"/>
  <c r="T275" i="13"/>
  <c r="S275" i="13"/>
  <c r="R275" i="13"/>
  <c r="Q275" i="13"/>
  <c r="T274" i="13"/>
  <c r="S274" i="13"/>
  <c r="Q274" i="13"/>
  <c r="R274" i="13"/>
  <c r="T270" i="13"/>
  <c r="S270" i="13"/>
  <c r="R270" i="13"/>
  <c r="Q270" i="13"/>
  <c r="T268" i="13"/>
  <c r="S268" i="13"/>
  <c r="R268" i="13"/>
  <c r="Q268" i="13"/>
  <c r="T267" i="13"/>
  <c r="S267" i="13"/>
  <c r="R267" i="13"/>
  <c r="Q267" i="13"/>
  <c r="T266" i="13"/>
  <c r="S266" i="13"/>
  <c r="R266" i="13"/>
  <c r="Q266" i="13"/>
  <c r="T265" i="13"/>
  <c r="S265" i="13"/>
  <c r="R265" i="13"/>
  <c r="Q265" i="13"/>
  <c r="T263" i="13"/>
  <c r="S263" i="13"/>
  <c r="R263" i="13"/>
  <c r="Q263" i="13"/>
  <c r="T262" i="13"/>
  <c r="S262" i="13"/>
  <c r="R262" i="13"/>
  <c r="Q262" i="13"/>
  <c r="T261" i="13"/>
  <c r="S261" i="13"/>
  <c r="R261" i="13"/>
  <c r="Q261" i="13"/>
  <c r="T260" i="13"/>
  <c r="S260" i="13"/>
  <c r="R260" i="13"/>
  <c r="Q260" i="13"/>
  <c r="T259" i="13"/>
  <c r="S259" i="13"/>
  <c r="R259" i="13"/>
  <c r="Q259" i="13"/>
  <c r="T258" i="13"/>
  <c r="S258" i="13"/>
  <c r="R258" i="13"/>
  <c r="Q258" i="13"/>
  <c r="T257" i="13"/>
  <c r="S257" i="13"/>
  <c r="R257" i="13"/>
  <c r="Q257" i="13"/>
  <c r="T256" i="13"/>
  <c r="S256" i="13"/>
  <c r="R256" i="13"/>
  <c r="Q256" i="13"/>
  <c r="T255" i="13"/>
  <c r="S255" i="13"/>
  <c r="R255" i="13"/>
  <c r="Q255" i="13"/>
  <c r="T254" i="13"/>
  <c r="S254" i="13"/>
  <c r="R254" i="13"/>
  <c r="Q254" i="13"/>
  <c r="T253" i="13"/>
  <c r="S253" i="13"/>
  <c r="R253" i="13"/>
  <c r="Q253" i="13"/>
  <c r="T252" i="13"/>
  <c r="S252" i="13"/>
  <c r="R252" i="13"/>
  <c r="Q252" i="13"/>
  <c r="T251" i="13"/>
  <c r="S251" i="13"/>
  <c r="R251" i="13"/>
  <c r="Q251" i="13"/>
  <c r="T250" i="13"/>
  <c r="S250" i="13"/>
  <c r="R250" i="13"/>
  <c r="Q250" i="13"/>
  <c r="T249" i="13"/>
  <c r="S249" i="13"/>
  <c r="R249" i="13"/>
  <c r="Q249" i="13"/>
  <c r="T248" i="13"/>
  <c r="S248" i="13"/>
  <c r="R248" i="13"/>
  <c r="Q248" i="13"/>
  <c r="T247" i="13"/>
  <c r="S247" i="13"/>
  <c r="R247" i="13"/>
  <c r="Q247" i="13"/>
  <c r="T245" i="13"/>
  <c r="S245" i="13"/>
  <c r="R245" i="13"/>
  <c r="Q245" i="13"/>
  <c r="T244" i="13"/>
  <c r="S244" i="13"/>
  <c r="R244" i="13"/>
  <c r="Q244" i="13"/>
  <c r="R243" i="13"/>
  <c r="Q243" i="13"/>
  <c r="T243" i="13"/>
  <c r="T241" i="13"/>
  <c r="S241" i="13"/>
  <c r="R241" i="13"/>
  <c r="Q241" i="13"/>
  <c r="T240" i="13"/>
  <c r="S240" i="13"/>
  <c r="R240" i="13"/>
  <c r="Q240" i="13"/>
  <c r="T239" i="13"/>
  <c r="S239" i="13"/>
  <c r="R239" i="13"/>
  <c r="Q239" i="13"/>
  <c r="T238" i="13"/>
  <c r="S238" i="13"/>
  <c r="R238" i="13"/>
  <c r="Q238" i="13"/>
  <c r="T237" i="13"/>
  <c r="S237" i="13"/>
  <c r="R237" i="13"/>
  <c r="Q237" i="13"/>
  <c r="T236" i="13"/>
  <c r="S236" i="13"/>
  <c r="R236" i="13"/>
  <c r="Q236" i="13"/>
  <c r="T235" i="13"/>
  <c r="S235" i="13"/>
  <c r="R235" i="13"/>
  <c r="Q235" i="13"/>
  <c r="T228" i="13"/>
  <c r="S228" i="13"/>
  <c r="R228" i="13"/>
  <c r="Q228" i="13"/>
  <c r="T227" i="13"/>
  <c r="S227" i="13"/>
  <c r="R227" i="13"/>
  <c r="Q227" i="13"/>
  <c r="T226" i="13"/>
  <c r="S226" i="13"/>
  <c r="R226" i="13"/>
  <c r="Q226" i="13"/>
  <c r="T225" i="13"/>
  <c r="S225" i="13"/>
  <c r="R225" i="13"/>
  <c r="Q225" i="13"/>
  <c r="T224" i="13"/>
  <c r="S224" i="13"/>
  <c r="R224" i="13"/>
  <c r="Q224" i="13"/>
  <c r="T223" i="13"/>
  <c r="S223" i="13"/>
  <c r="R223" i="13"/>
  <c r="Q223" i="13"/>
  <c r="T222" i="13"/>
  <c r="S222" i="13"/>
  <c r="R222" i="13"/>
  <c r="Q222" i="13"/>
  <c r="T216" i="13"/>
  <c r="S216" i="13"/>
  <c r="R216" i="13"/>
  <c r="Q216" i="13"/>
  <c r="T215" i="13"/>
  <c r="S215" i="13"/>
  <c r="R215" i="13"/>
  <c r="Q215" i="13"/>
  <c r="T214" i="13"/>
  <c r="S214" i="13"/>
  <c r="R214" i="13"/>
  <c r="Q214" i="13"/>
  <c r="T213" i="13"/>
  <c r="S213" i="13"/>
  <c r="R213" i="13"/>
  <c r="T212" i="13"/>
  <c r="S212" i="13"/>
  <c r="R212" i="13"/>
  <c r="Q212" i="13"/>
  <c r="T211" i="13"/>
  <c r="S211" i="13"/>
  <c r="R211" i="13"/>
  <c r="Q211" i="13"/>
  <c r="T210" i="13"/>
  <c r="S210" i="13"/>
  <c r="R210" i="13"/>
  <c r="Q210" i="13"/>
  <c r="T209" i="13"/>
  <c r="S209" i="13"/>
  <c r="R209" i="13"/>
  <c r="Q209" i="13"/>
  <c r="T208" i="13"/>
  <c r="S208" i="13"/>
  <c r="R208" i="13"/>
  <c r="Q208" i="13"/>
  <c r="T207" i="13"/>
  <c r="S207" i="13"/>
  <c r="R207" i="13"/>
  <c r="Q207" i="13"/>
  <c r="T206" i="13"/>
  <c r="S206" i="13"/>
  <c r="R206" i="13"/>
  <c r="Q206" i="13"/>
  <c r="T205" i="13"/>
  <c r="S205" i="13"/>
  <c r="R205" i="13"/>
  <c r="Q205" i="13"/>
  <c r="T204" i="13"/>
  <c r="S204" i="13"/>
  <c r="R204" i="13"/>
  <c r="Q204" i="13"/>
  <c r="T203" i="13"/>
  <c r="S203" i="13"/>
  <c r="R203" i="13"/>
  <c r="Q203" i="13"/>
  <c r="T202" i="13"/>
  <c r="S202" i="13"/>
  <c r="R202" i="13"/>
  <c r="Q202" i="13"/>
  <c r="T201" i="13"/>
  <c r="S201" i="13"/>
  <c r="R201" i="13"/>
  <c r="Q201" i="13"/>
  <c r="T200" i="13"/>
  <c r="S200" i="13"/>
  <c r="R200" i="13"/>
  <c r="Q200" i="13"/>
  <c r="T199" i="13"/>
  <c r="S199" i="13"/>
  <c r="R199" i="13"/>
  <c r="Q199" i="13"/>
  <c r="T198" i="13"/>
  <c r="S198" i="13"/>
  <c r="R198" i="13"/>
  <c r="Q198" i="13"/>
  <c r="T197" i="13"/>
  <c r="S197" i="13"/>
  <c r="R197" i="13"/>
  <c r="Q197" i="13"/>
  <c r="T196" i="13"/>
  <c r="S196" i="13"/>
  <c r="R196" i="13"/>
  <c r="Q196" i="13"/>
  <c r="T195" i="13"/>
  <c r="S195" i="13"/>
  <c r="R195" i="13"/>
  <c r="Q195" i="13"/>
  <c r="T194" i="13"/>
  <c r="S194" i="13"/>
  <c r="R194" i="13"/>
  <c r="Q194" i="13"/>
  <c r="T193" i="13"/>
  <c r="S193" i="13"/>
  <c r="R193" i="13"/>
  <c r="Q193" i="13"/>
  <c r="T192" i="13"/>
  <c r="S192" i="13"/>
  <c r="R192" i="13"/>
  <c r="Q192" i="13"/>
  <c r="T191" i="13"/>
  <c r="S191" i="13"/>
  <c r="R191" i="13"/>
  <c r="Q191" i="13"/>
  <c r="T189" i="13"/>
  <c r="S189" i="13"/>
  <c r="R189" i="13"/>
  <c r="Q189" i="13"/>
  <c r="T187" i="13"/>
  <c r="S187" i="13"/>
  <c r="R187" i="13"/>
  <c r="Q187" i="13"/>
  <c r="T234" i="13"/>
  <c r="S234" i="13"/>
  <c r="R234" i="13"/>
  <c r="Q234" i="13"/>
  <c r="T186" i="13"/>
  <c r="S186" i="13"/>
  <c r="R186" i="13"/>
  <c r="Q186" i="13"/>
  <c r="T185" i="13"/>
  <c r="S185" i="13"/>
  <c r="R185" i="13"/>
  <c r="Q185" i="13"/>
  <c r="T184" i="13"/>
  <c r="S184" i="13"/>
  <c r="R184" i="13"/>
  <c r="Q184" i="13"/>
  <c r="T182" i="13"/>
  <c r="S182" i="13"/>
  <c r="R182" i="13"/>
  <c r="Q182" i="13"/>
  <c r="T180" i="13"/>
  <c r="S180" i="13"/>
  <c r="R180" i="13"/>
  <c r="Q180" i="13"/>
  <c r="T178" i="13"/>
  <c r="S178" i="13"/>
  <c r="R178" i="13"/>
  <c r="Q178" i="13"/>
  <c r="T177" i="13"/>
  <c r="S177" i="13"/>
  <c r="R177" i="13"/>
  <c r="Q177" i="13"/>
  <c r="T176" i="13"/>
  <c r="S176" i="13"/>
  <c r="R176" i="13"/>
  <c r="Q176" i="13"/>
  <c r="S175" i="13"/>
  <c r="R175" i="13"/>
  <c r="Q175" i="13"/>
  <c r="T175" i="13"/>
  <c r="T174" i="13"/>
  <c r="S174" i="13"/>
  <c r="R174" i="13"/>
  <c r="Q174" i="13"/>
  <c r="T173" i="13"/>
  <c r="S173" i="13"/>
  <c r="R173" i="13"/>
  <c r="Q173" i="13"/>
  <c r="T171" i="13"/>
  <c r="S171" i="13"/>
  <c r="R171" i="13"/>
  <c r="Q171" i="13"/>
  <c r="Q169" i="13"/>
  <c r="T169" i="13"/>
  <c r="T168" i="13"/>
  <c r="S168" i="13"/>
  <c r="R168" i="13"/>
  <c r="Q168" i="13"/>
  <c r="T167" i="13"/>
  <c r="S167" i="13"/>
  <c r="R167" i="13"/>
  <c r="Q167" i="13"/>
  <c r="T166" i="13"/>
  <c r="S166" i="13"/>
  <c r="R166" i="13"/>
  <c r="Q166" i="13"/>
  <c r="T165" i="13"/>
  <c r="S165" i="13"/>
  <c r="R165" i="13"/>
  <c r="Q165" i="13"/>
  <c r="T164" i="13"/>
  <c r="S164" i="13"/>
  <c r="R164" i="13"/>
  <c r="Q164" i="13"/>
  <c r="T163" i="13"/>
  <c r="S163" i="13"/>
  <c r="R163" i="13"/>
  <c r="Q163" i="13"/>
  <c r="T162" i="13"/>
  <c r="S162" i="13"/>
  <c r="R162" i="13"/>
  <c r="Q162" i="13"/>
  <c r="T161" i="13"/>
  <c r="S161" i="13"/>
  <c r="R161" i="13"/>
  <c r="Q161" i="13"/>
  <c r="T160" i="13"/>
  <c r="S160" i="13"/>
  <c r="R160" i="13"/>
  <c r="Q160" i="13"/>
  <c r="T159" i="13"/>
  <c r="S159" i="13"/>
  <c r="R159" i="13"/>
  <c r="Q159" i="13"/>
  <c r="T157" i="13"/>
  <c r="S157" i="13"/>
  <c r="R157" i="13"/>
  <c r="Q157" i="13"/>
  <c r="T156" i="13"/>
  <c r="S156" i="13"/>
  <c r="R156" i="13"/>
  <c r="Q156" i="13"/>
  <c r="T155" i="13"/>
  <c r="S155" i="13"/>
  <c r="R155" i="13"/>
  <c r="Q155" i="13"/>
  <c r="T154" i="13"/>
  <c r="S154" i="13"/>
  <c r="R154" i="13"/>
  <c r="Q154" i="13"/>
  <c r="T153" i="13"/>
  <c r="S153" i="13"/>
  <c r="R153" i="13"/>
  <c r="Q153" i="13"/>
  <c r="T152" i="13"/>
  <c r="S152" i="13"/>
  <c r="R152" i="13"/>
  <c r="Q152" i="13"/>
  <c r="T151" i="13"/>
  <c r="S151" i="13"/>
  <c r="R151" i="13"/>
  <c r="Q151" i="13"/>
  <c r="T150" i="13"/>
  <c r="S150" i="13"/>
  <c r="Q150" i="13"/>
  <c r="R150" i="13"/>
  <c r="T149" i="13"/>
  <c r="S149" i="13"/>
  <c r="R149" i="13"/>
  <c r="Q149" i="13"/>
  <c r="T148" i="13"/>
  <c r="S148" i="13"/>
  <c r="R148" i="13"/>
  <c r="Q148" i="13"/>
  <c r="T147" i="13"/>
  <c r="S147" i="13"/>
  <c r="R147" i="13"/>
  <c r="Q147" i="13"/>
  <c r="T146" i="13"/>
  <c r="S146" i="13"/>
  <c r="R146" i="13"/>
  <c r="Q146" i="13"/>
  <c r="T144" i="13"/>
  <c r="S144" i="13"/>
  <c r="R144" i="13"/>
  <c r="Q144" i="13"/>
  <c r="T143" i="13"/>
  <c r="S143" i="13"/>
  <c r="R143" i="13"/>
  <c r="Q143" i="13"/>
  <c r="T142" i="13"/>
  <c r="S142" i="13"/>
  <c r="R142" i="13"/>
  <c r="Q142" i="13"/>
  <c r="T141" i="13"/>
  <c r="S141" i="13"/>
  <c r="R141" i="13"/>
  <c r="Q141" i="13"/>
  <c r="T140" i="13"/>
  <c r="S140" i="13"/>
  <c r="R140" i="13"/>
  <c r="Q140" i="13"/>
  <c r="T139" i="13"/>
  <c r="S139" i="13"/>
  <c r="R139" i="13"/>
  <c r="Q139" i="13"/>
  <c r="T138" i="13"/>
  <c r="S138" i="13"/>
  <c r="R138" i="13"/>
  <c r="Q138" i="13"/>
  <c r="T137" i="13"/>
  <c r="S137" i="13"/>
  <c r="R137" i="13"/>
  <c r="Q137" i="13"/>
  <c r="T136" i="13"/>
  <c r="S136" i="13"/>
  <c r="R136" i="13"/>
  <c r="Q136" i="13"/>
  <c r="T135" i="13"/>
  <c r="S135" i="13"/>
  <c r="R135" i="13"/>
  <c r="Q135" i="13"/>
  <c r="T134" i="13"/>
  <c r="S134" i="13"/>
  <c r="R134" i="13"/>
  <c r="Q134" i="13"/>
  <c r="T133" i="13"/>
  <c r="S133" i="13"/>
  <c r="R133" i="13"/>
  <c r="Q133" i="13"/>
  <c r="T132" i="13"/>
  <c r="S132" i="13"/>
  <c r="R132" i="13"/>
  <c r="Q132" i="13"/>
  <c r="T131" i="13"/>
  <c r="S131" i="13"/>
  <c r="R131" i="13"/>
  <c r="Q131" i="13"/>
  <c r="T130" i="13"/>
  <c r="S130" i="13"/>
  <c r="R130" i="13"/>
  <c r="Q130" i="13"/>
  <c r="T129" i="13"/>
  <c r="S129" i="13"/>
  <c r="R129" i="13"/>
  <c r="Q129" i="13"/>
  <c r="T128" i="13"/>
  <c r="S128" i="13"/>
  <c r="R128" i="13"/>
  <c r="Q128" i="13"/>
  <c r="T127" i="13"/>
  <c r="S127" i="13"/>
  <c r="R127" i="13"/>
  <c r="Q127" i="13"/>
  <c r="T126" i="13"/>
  <c r="S126" i="13"/>
  <c r="R126" i="13"/>
  <c r="Q126" i="13"/>
  <c r="T124" i="13"/>
  <c r="S124" i="13"/>
  <c r="R124" i="13"/>
  <c r="Q124" i="13"/>
  <c r="T123" i="13"/>
  <c r="S123" i="13"/>
  <c r="R123" i="13"/>
  <c r="Q123" i="13"/>
  <c r="T230" i="13"/>
  <c r="T229" i="13"/>
  <c r="S229" i="13"/>
  <c r="R229" i="13"/>
  <c r="Q229" i="13"/>
  <c r="T120" i="13"/>
  <c r="S120" i="13"/>
  <c r="R120" i="13"/>
  <c r="Q120" i="13"/>
  <c r="T119" i="13"/>
  <c r="S119" i="13"/>
  <c r="R119" i="13"/>
  <c r="Q119" i="13"/>
  <c r="T118" i="13"/>
  <c r="S118" i="13"/>
  <c r="R118" i="13"/>
  <c r="Q118" i="13"/>
  <c r="T117" i="13"/>
  <c r="S117" i="13"/>
  <c r="R117" i="13"/>
  <c r="Q117" i="13"/>
  <c r="T116" i="13"/>
  <c r="S116" i="13"/>
  <c r="R116" i="13"/>
  <c r="Q116" i="13"/>
  <c r="T115" i="13"/>
  <c r="S115" i="13"/>
  <c r="R115" i="13"/>
  <c r="Q115" i="13"/>
  <c r="T113" i="13"/>
  <c r="S113" i="13"/>
  <c r="R113" i="13"/>
  <c r="Q113" i="13"/>
  <c r="T111" i="13"/>
  <c r="S111" i="13"/>
  <c r="R111" i="13"/>
  <c r="Q111" i="13"/>
  <c r="T110" i="13"/>
  <c r="S110" i="13"/>
  <c r="R110" i="13"/>
  <c r="Q110" i="13"/>
  <c r="T109" i="13"/>
  <c r="S109" i="13"/>
  <c r="R109" i="13"/>
  <c r="Q109" i="13"/>
  <c r="T108" i="13"/>
  <c r="S108" i="13"/>
  <c r="R108" i="13"/>
  <c r="Q108" i="13"/>
  <c r="T107" i="13"/>
  <c r="S107" i="13"/>
  <c r="R107" i="13"/>
  <c r="Q107" i="13"/>
  <c r="T106" i="13"/>
  <c r="S106" i="13"/>
  <c r="R106" i="13"/>
  <c r="Q106" i="13"/>
  <c r="T105" i="13"/>
  <c r="S105" i="13"/>
  <c r="R105" i="13"/>
  <c r="Q105" i="13"/>
  <c r="T104" i="13"/>
  <c r="T103" i="13"/>
  <c r="S103" i="13"/>
  <c r="R103" i="13"/>
  <c r="Q103" i="13"/>
  <c r="T102" i="13"/>
  <c r="S102" i="13"/>
  <c r="R102" i="13"/>
  <c r="Q102" i="13"/>
  <c r="T101" i="13"/>
  <c r="S101" i="13"/>
  <c r="R101" i="13"/>
  <c r="Q101" i="13"/>
  <c r="T100" i="13"/>
  <c r="S100" i="13"/>
  <c r="R100" i="13"/>
  <c r="Q100" i="13"/>
  <c r="S97" i="13"/>
  <c r="R97" i="13"/>
  <c r="Q97" i="13"/>
  <c r="T96" i="13"/>
  <c r="S96" i="13"/>
  <c r="R96" i="13"/>
  <c r="Q96" i="13"/>
  <c r="T95" i="13"/>
  <c r="S95" i="13"/>
  <c r="R95" i="13"/>
  <c r="Q95" i="13"/>
  <c r="T94" i="13"/>
  <c r="S94" i="13"/>
  <c r="R94" i="13"/>
  <c r="Q94" i="13"/>
  <c r="T93" i="13"/>
  <c r="S93" i="13"/>
  <c r="R93" i="13"/>
  <c r="Q93" i="13"/>
  <c r="T92" i="13"/>
  <c r="S92" i="13"/>
  <c r="R92" i="13"/>
  <c r="Q92" i="13"/>
  <c r="T91" i="13"/>
  <c r="S91" i="13"/>
  <c r="R91" i="13"/>
  <c r="Q91" i="13"/>
  <c r="T90" i="13"/>
  <c r="S90" i="13"/>
  <c r="R90" i="13"/>
  <c r="Q90" i="13"/>
  <c r="T89" i="13"/>
  <c r="S89" i="13"/>
  <c r="R89" i="13"/>
  <c r="Q89" i="13"/>
  <c r="T88" i="13"/>
  <c r="S88" i="13"/>
  <c r="R88" i="13"/>
  <c r="Q88" i="13"/>
  <c r="S85" i="13"/>
  <c r="R85" i="13"/>
  <c r="Q85" i="13"/>
  <c r="T85" i="13"/>
  <c r="T84" i="13"/>
  <c r="S84" i="13"/>
  <c r="R84" i="13"/>
  <c r="Q84" i="13"/>
  <c r="T83" i="13"/>
  <c r="S83" i="13"/>
  <c r="R83" i="13"/>
  <c r="Q83" i="13"/>
  <c r="T81" i="13"/>
  <c r="S81" i="13"/>
  <c r="R81" i="13"/>
  <c r="Q81" i="13"/>
  <c r="T80" i="13"/>
  <c r="S80" i="13"/>
  <c r="R80" i="13"/>
  <c r="Q80" i="13"/>
  <c r="T79" i="13"/>
  <c r="S79" i="13"/>
  <c r="R79" i="13"/>
  <c r="Q79" i="13"/>
  <c r="T78" i="13"/>
  <c r="S78" i="13"/>
  <c r="R78" i="13"/>
  <c r="Q78" i="13"/>
  <c r="T76" i="13"/>
  <c r="S76" i="13"/>
  <c r="R76" i="13"/>
  <c r="Q76" i="13"/>
  <c r="T75" i="13"/>
  <c r="S75" i="13"/>
  <c r="R75" i="13"/>
  <c r="Q75" i="13"/>
  <c r="T74" i="13"/>
  <c r="S74" i="13"/>
  <c r="R74" i="13"/>
  <c r="Q74" i="13"/>
  <c r="T73" i="13"/>
  <c r="S73" i="13"/>
  <c r="R73" i="13"/>
  <c r="Q73" i="13"/>
  <c r="T72" i="13"/>
  <c r="S72" i="13"/>
  <c r="R72" i="13"/>
  <c r="Q72" i="13"/>
  <c r="T71" i="13"/>
  <c r="S71" i="13"/>
  <c r="R71" i="13"/>
  <c r="Q71" i="13"/>
  <c r="T70" i="13"/>
  <c r="S70" i="13"/>
  <c r="R70" i="13"/>
  <c r="Q70" i="13"/>
  <c r="T69" i="13"/>
  <c r="S69" i="13"/>
  <c r="R69" i="13"/>
  <c r="Q69" i="13"/>
  <c r="T68" i="13"/>
  <c r="S68" i="13"/>
  <c r="R68" i="13"/>
  <c r="Q68" i="13"/>
  <c r="T67" i="13"/>
  <c r="S67" i="13"/>
  <c r="R67" i="13"/>
  <c r="Q67" i="13"/>
  <c r="T66" i="13"/>
  <c r="S66" i="13"/>
  <c r="R66" i="13"/>
  <c r="Q66" i="13"/>
  <c r="T65" i="13"/>
  <c r="S65" i="13"/>
  <c r="R65" i="13"/>
  <c r="Q65" i="13"/>
  <c r="T64" i="13"/>
  <c r="S64" i="13"/>
  <c r="R64" i="13"/>
  <c r="Q64" i="13"/>
  <c r="T63" i="13"/>
  <c r="S63" i="13"/>
  <c r="R63" i="13"/>
  <c r="Q63" i="13"/>
  <c r="T62" i="13"/>
  <c r="S62" i="13"/>
  <c r="R62" i="13"/>
  <c r="Q62" i="13"/>
  <c r="T61" i="13"/>
  <c r="S61" i="13"/>
  <c r="R61" i="13"/>
  <c r="Q61" i="13"/>
  <c r="T60" i="13"/>
  <c r="S60" i="13"/>
  <c r="R60" i="13"/>
  <c r="Q60" i="13"/>
  <c r="T59" i="13"/>
  <c r="S59" i="13"/>
  <c r="R59" i="13"/>
  <c r="Q59" i="13"/>
  <c r="T58" i="13"/>
  <c r="S58" i="13"/>
  <c r="R58" i="13"/>
  <c r="Q58" i="13"/>
  <c r="T57" i="13"/>
  <c r="S57" i="13"/>
  <c r="R57" i="13"/>
  <c r="Q57" i="13"/>
  <c r="T55" i="13"/>
  <c r="S55" i="13"/>
  <c r="R55" i="13"/>
  <c r="Q55" i="13"/>
  <c r="T53" i="13"/>
  <c r="S53" i="13"/>
  <c r="R53" i="13"/>
  <c r="Q53" i="13"/>
  <c r="T52" i="13"/>
  <c r="S52" i="13"/>
  <c r="R52" i="13"/>
  <c r="Q52" i="13"/>
  <c r="T51" i="13"/>
  <c r="S51" i="13"/>
  <c r="R51" i="13"/>
  <c r="Q51" i="13"/>
  <c r="T49" i="13"/>
  <c r="S49" i="13"/>
  <c r="R49" i="13"/>
  <c r="Q49" i="13"/>
  <c r="T47" i="13"/>
  <c r="S47" i="13"/>
  <c r="R47" i="13"/>
  <c r="Q47" i="13"/>
  <c r="T46" i="13"/>
  <c r="S46" i="13"/>
  <c r="R46" i="13"/>
  <c r="Q46" i="13"/>
  <c r="T45" i="13"/>
  <c r="S45" i="13"/>
  <c r="R45" i="13"/>
  <c r="Q45" i="13"/>
  <c r="T44" i="13"/>
  <c r="S44" i="13"/>
  <c r="R44" i="13"/>
  <c r="Q44" i="13"/>
  <c r="T43" i="13"/>
  <c r="S43" i="13"/>
  <c r="R43" i="13"/>
  <c r="Q43" i="13"/>
  <c r="T42" i="13"/>
  <c r="S42" i="13"/>
  <c r="R42" i="13"/>
  <c r="Q42" i="13"/>
  <c r="T41" i="13"/>
  <c r="S41" i="13"/>
  <c r="R41" i="13"/>
  <c r="Q41" i="13"/>
  <c r="T40" i="13"/>
  <c r="S40" i="13"/>
  <c r="R40" i="13"/>
  <c r="Q40" i="13"/>
  <c r="T39" i="13"/>
  <c r="S39" i="13"/>
  <c r="R39" i="13"/>
  <c r="Q39" i="13"/>
  <c r="T38" i="13"/>
  <c r="S38" i="13"/>
  <c r="R38" i="13"/>
  <c r="Q38" i="13"/>
  <c r="T36" i="13"/>
  <c r="S36" i="13"/>
  <c r="R36" i="13"/>
  <c r="Q36" i="13"/>
  <c r="T35" i="13"/>
  <c r="S35" i="13"/>
  <c r="R35" i="13"/>
  <c r="Q35" i="13"/>
  <c r="T34" i="13"/>
  <c r="S34" i="13"/>
  <c r="R34" i="13"/>
  <c r="Q34" i="13"/>
  <c r="T33" i="13"/>
  <c r="S33" i="13"/>
  <c r="R33" i="13"/>
  <c r="Q33" i="13"/>
  <c r="T32" i="13"/>
  <c r="S32" i="13"/>
  <c r="R32" i="13"/>
  <c r="Q32" i="13"/>
  <c r="T31" i="13"/>
  <c r="S31" i="13"/>
  <c r="R31" i="13"/>
  <c r="Q31" i="13"/>
  <c r="T30" i="13"/>
  <c r="S30" i="13"/>
  <c r="R30" i="13"/>
  <c r="Q30" i="13"/>
  <c r="T29" i="13"/>
  <c r="S29" i="13"/>
  <c r="R29" i="13"/>
  <c r="Q29" i="13"/>
  <c r="T28" i="13"/>
  <c r="S28" i="13"/>
  <c r="R28" i="13"/>
  <c r="Q28" i="13"/>
  <c r="T27" i="13"/>
  <c r="S27" i="13"/>
  <c r="R27" i="13"/>
  <c r="Q27" i="13"/>
  <c r="T26" i="13"/>
  <c r="S26" i="13"/>
  <c r="R26" i="13"/>
  <c r="Q26" i="13"/>
  <c r="T25" i="13"/>
  <c r="S25" i="13"/>
  <c r="R25" i="13"/>
  <c r="Q25" i="13"/>
  <c r="T24" i="13"/>
  <c r="S24" i="13"/>
  <c r="R24" i="13"/>
  <c r="Q24" i="13"/>
  <c r="T23" i="13"/>
  <c r="S23" i="13"/>
  <c r="R23" i="13"/>
  <c r="Q23" i="13"/>
  <c r="T22" i="13"/>
  <c r="S22" i="13"/>
  <c r="R22" i="13"/>
  <c r="Q22" i="13"/>
  <c r="T21" i="13"/>
  <c r="S21" i="13"/>
  <c r="R21" i="13"/>
  <c r="Q21" i="13"/>
  <c r="T20" i="13"/>
  <c r="S20" i="13"/>
  <c r="R20" i="13"/>
  <c r="Q20" i="13"/>
  <c r="T19" i="13"/>
  <c r="S19" i="13"/>
  <c r="R19" i="13"/>
  <c r="Q19" i="13"/>
  <c r="T18" i="13"/>
  <c r="S18" i="13"/>
  <c r="R18" i="13"/>
  <c r="Q18" i="13"/>
  <c r="T16" i="13"/>
  <c r="S16" i="13"/>
  <c r="R16" i="13"/>
  <c r="Q16" i="13"/>
  <c r="T15" i="13"/>
  <c r="S15" i="13"/>
  <c r="R15" i="13"/>
  <c r="Q15" i="13"/>
  <c r="T14" i="13"/>
  <c r="S14" i="13"/>
  <c r="Q14" i="13"/>
  <c r="S243" i="13" l="1"/>
  <c r="R169" i="13"/>
  <c r="S169" i="13"/>
  <c r="M61" i="11"/>
  <c r="T61" i="11" s="1"/>
  <c r="I162" i="11" l="1"/>
  <c r="I161" i="11"/>
  <c r="G162" i="11" l="1"/>
  <c r="G161" i="11"/>
  <c r="R162" i="11" l="1"/>
  <c r="S162" i="11"/>
  <c r="T162" i="11"/>
  <c r="T161" i="11"/>
  <c r="S161" i="11"/>
  <c r="R161" i="11"/>
  <c r="I220" i="11"/>
  <c r="I219" i="11"/>
  <c r="I218" i="11"/>
  <c r="G220" i="11"/>
  <c r="G219" i="11"/>
  <c r="G218" i="11"/>
  <c r="S218" i="11" l="1"/>
  <c r="T218" i="11"/>
  <c r="R218" i="11"/>
  <c r="R219" i="11"/>
  <c r="S219" i="11"/>
  <c r="T219" i="11"/>
  <c r="S220" i="11"/>
  <c r="T220" i="11"/>
  <c r="R220" i="11"/>
  <c r="I79" i="11"/>
  <c r="S79" i="11" l="1"/>
  <c r="T79" i="11"/>
  <c r="K261" i="11"/>
  <c r="I261" i="11"/>
  <c r="G261" i="11"/>
  <c r="G156" i="11" l="1"/>
  <c r="G155" i="11"/>
  <c r="R156" i="11" l="1"/>
  <c r="S156" i="11"/>
  <c r="T156" i="11"/>
  <c r="S155" i="11"/>
  <c r="T155" i="11"/>
  <c r="R155" i="11"/>
  <c r="I180" i="11"/>
  <c r="S180" i="11" l="1"/>
  <c r="T180" i="11"/>
  <c r="G247" i="11"/>
  <c r="S247" i="11" l="1"/>
  <c r="T247" i="11"/>
  <c r="R247" i="11"/>
  <c r="G137" i="11"/>
  <c r="R137" i="11" l="1"/>
  <c r="S137" i="11"/>
  <c r="T137" i="11"/>
  <c r="G172" i="7"/>
  <c r="G171" i="7"/>
  <c r="M172" i="7"/>
  <c r="M171" i="7"/>
  <c r="K172" i="7"/>
  <c r="K171" i="7"/>
  <c r="I172" i="7"/>
  <c r="I171" i="7"/>
  <c r="T276" i="11" l="1"/>
  <c r="T312" i="11" l="1"/>
  <c r="T311" i="11"/>
  <c r="T310" i="11"/>
  <c r="T309" i="11"/>
  <c r="T308" i="11"/>
  <c r="T307" i="11"/>
  <c r="T306" i="11"/>
  <c r="T305" i="11"/>
  <c r="T304" i="11"/>
  <c r="T303" i="11"/>
  <c r="T302" i="11"/>
  <c r="T301" i="11"/>
  <c r="T300" i="11"/>
  <c r="T299" i="11"/>
  <c r="T298" i="11"/>
  <c r="T297" i="11"/>
  <c r="T296" i="11"/>
  <c r="T295" i="11"/>
  <c r="T294" i="11"/>
  <c r="T293" i="11"/>
  <c r="T292" i="11"/>
  <c r="T291" i="11"/>
  <c r="T290" i="11"/>
  <c r="T289" i="11"/>
  <c r="T288" i="11"/>
  <c r="T287" i="11"/>
  <c r="T286" i="11"/>
  <c r="T285" i="11"/>
  <c r="T284" i="11"/>
  <c r="T283" i="11"/>
  <c r="T282" i="11"/>
  <c r="T281" i="11"/>
  <c r="T280" i="11"/>
  <c r="T279" i="11"/>
  <c r="T278" i="11"/>
  <c r="T277" i="11"/>
  <c r="T275" i="11"/>
  <c r="T274" i="11"/>
  <c r="T273" i="11"/>
  <c r="T272" i="11"/>
  <c r="T271" i="11"/>
  <c r="T270" i="11"/>
  <c r="T269" i="11"/>
  <c r="T268" i="11"/>
  <c r="T267" i="11"/>
  <c r="T266" i="11"/>
  <c r="T265" i="11"/>
  <c r="T264" i="11"/>
  <c r="T263" i="11"/>
  <c r="T262" i="11"/>
  <c r="T261" i="11"/>
  <c r="T260" i="11"/>
  <c r="T259" i="11"/>
  <c r="T258" i="11"/>
  <c r="T257" i="11"/>
  <c r="T14" i="11"/>
  <c r="T256" i="11"/>
  <c r="I290" i="7" l="1"/>
  <c r="M255" i="7" l="1"/>
  <c r="M221" i="7" l="1"/>
  <c r="P302" i="10" l="1"/>
  <c r="P301" i="10"/>
  <c r="P300" i="10"/>
  <c r="I299" i="10"/>
  <c r="G299" i="10"/>
  <c r="P298" i="10"/>
  <c r="P297" i="10"/>
  <c r="P296" i="10"/>
  <c r="P295" i="10"/>
  <c r="P294" i="10"/>
  <c r="G293" i="10"/>
  <c r="P293" i="10" s="1"/>
  <c r="P292" i="10"/>
  <c r="G291" i="10"/>
  <c r="P291" i="10" s="1"/>
  <c r="P290" i="10"/>
  <c r="P289" i="10"/>
  <c r="P288" i="10"/>
  <c r="P287" i="10"/>
  <c r="P286" i="10"/>
  <c r="P285" i="10"/>
  <c r="P284" i="10"/>
  <c r="P283" i="10"/>
  <c r="P282" i="10"/>
  <c r="P281" i="10"/>
  <c r="P280" i="10"/>
  <c r="P279" i="10"/>
  <c r="P278" i="10"/>
  <c r="P277" i="10"/>
  <c r="P276" i="10"/>
  <c r="P275" i="10"/>
  <c r="P274" i="10"/>
  <c r="P273" i="10"/>
  <c r="P272" i="10"/>
  <c r="P271" i="10"/>
  <c r="P270" i="10"/>
  <c r="P269" i="10"/>
  <c r="P268" i="10"/>
  <c r="P267" i="10"/>
  <c r="P266" i="10"/>
  <c r="P265" i="10"/>
  <c r="P264" i="10"/>
  <c r="P263" i="10"/>
  <c r="P262" i="10"/>
  <c r="P261" i="10"/>
  <c r="P260" i="10"/>
  <c r="P259" i="10"/>
  <c r="G258" i="10"/>
  <c r="P258" i="10" s="1"/>
  <c r="G257" i="10"/>
  <c r="P257" i="10" s="1"/>
  <c r="K256" i="10"/>
  <c r="I256" i="10"/>
  <c r="G256" i="10"/>
  <c r="P255" i="10"/>
  <c r="P254" i="10"/>
  <c r="P253" i="10"/>
  <c r="P252" i="10"/>
  <c r="P251" i="10"/>
  <c r="P250" i="10"/>
  <c r="P249" i="10"/>
  <c r="P248" i="10"/>
  <c r="P247" i="10"/>
  <c r="P246" i="10"/>
  <c r="P245" i="10"/>
  <c r="P244" i="10"/>
  <c r="P243" i="10"/>
  <c r="P242" i="10"/>
  <c r="P240" i="10"/>
  <c r="P241" i="10" s="1"/>
  <c r="P239" i="10"/>
  <c r="G238" i="10"/>
  <c r="P238" i="10" s="1"/>
  <c r="P237" i="10"/>
  <c r="P236" i="10"/>
  <c r="P235" i="10"/>
  <c r="P234" i="10"/>
  <c r="P233" i="10"/>
  <c r="P232" i="10"/>
  <c r="P231" i="10"/>
  <c r="P230" i="10"/>
  <c r="P229" i="10"/>
  <c r="P228" i="10"/>
  <c r="G227" i="10"/>
  <c r="P227" i="10" s="1"/>
  <c r="P226" i="10"/>
  <c r="P225" i="10"/>
  <c r="P224" i="10"/>
  <c r="P223" i="10"/>
  <c r="P222" i="10"/>
  <c r="P221" i="10"/>
  <c r="P220" i="10"/>
  <c r="I219" i="10"/>
  <c r="G219" i="10"/>
  <c r="P218" i="10"/>
  <c r="P217" i="10"/>
  <c r="P216" i="10"/>
  <c r="P215" i="10"/>
  <c r="P214" i="10"/>
  <c r="P213" i="10"/>
  <c r="I212" i="10"/>
  <c r="G212" i="10"/>
  <c r="P211" i="10"/>
  <c r="P210" i="10"/>
  <c r="P209" i="10"/>
  <c r="P208" i="10"/>
  <c r="P207" i="10"/>
  <c r="P206" i="10"/>
  <c r="P205" i="10"/>
  <c r="P204" i="10"/>
  <c r="P203" i="10"/>
  <c r="P202" i="10"/>
  <c r="P201" i="10"/>
  <c r="P200" i="10"/>
  <c r="P199" i="10"/>
  <c r="P198" i="10"/>
  <c r="P197" i="10"/>
  <c r="P196" i="10"/>
  <c r="P195" i="10"/>
  <c r="P194" i="10"/>
  <c r="G193" i="10"/>
  <c r="P193" i="10" s="1"/>
  <c r="P192" i="10"/>
  <c r="P191" i="10"/>
  <c r="P190" i="10"/>
  <c r="P189" i="10"/>
  <c r="P188" i="10"/>
  <c r="P187" i="10"/>
  <c r="P186" i="10"/>
  <c r="P185" i="10"/>
  <c r="P184" i="10"/>
  <c r="P183" i="10"/>
  <c r="P182" i="10"/>
  <c r="P181" i="10"/>
  <c r="P180" i="10"/>
  <c r="P179" i="10"/>
  <c r="P178" i="10"/>
  <c r="P177" i="10"/>
  <c r="P176" i="10"/>
  <c r="P175" i="10"/>
  <c r="P174" i="10"/>
  <c r="P173" i="10"/>
  <c r="P172" i="10"/>
  <c r="P171" i="10"/>
  <c r="P170" i="10"/>
  <c r="P169" i="10"/>
  <c r="P168" i="10"/>
  <c r="P167" i="10"/>
  <c r="P166" i="10"/>
  <c r="P165" i="10"/>
  <c r="P164" i="10"/>
  <c r="P163" i="10"/>
  <c r="P162" i="10"/>
  <c r="P161" i="10"/>
  <c r="P160" i="10"/>
  <c r="P159" i="10"/>
  <c r="P158" i="10"/>
  <c r="P157" i="10"/>
  <c r="P156" i="10"/>
  <c r="P155" i="10"/>
  <c r="P154" i="10"/>
  <c r="I153" i="10"/>
  <c r="G153" i="10"/>
  <c r="P152" i="10"/>
  <c r="P151" i="10"/>
  <c r="P150" i="10"/>
  <c r="P149" i="10"/>
  <c r="P148" i="10"/>
  <c r="P147" i="10"/>
  <c r="P146" i="10"/>
  <c r="P145" i="10"/>
  <c r="P144" i="10"/>
  <c r="P143" i="10"/>
  <c r="P142" i="10"/>
  <c r="P141" i="10"/>
  <c r="P140" i="10"/>
  <c r="P139" i="10"/>
  <c r="P138" i="10"/>
  <c r="P137" i="10"/>
  <c r="P136" i="10"/>
  <c r="P135" i="10"/>
  <c r="P134" i="10"/>
  <c r="P133" i="10"/>
  <c r="P132" i="10"/>
  <c r="P131" i="10"/>
  <c r="P130" i="10"/>
  <c r="P129" i="10"/>
  <c r="P128" i="10"/>
  <c r="G127" i="10"/>
  <c r="P127" i="10" s="1"/>
  <c r="G126" i="10"/>
  <c r="P126" i="10" s="1"/>
  <c r="P125" i="10"/>
  <c r="P124" i="10"/>
  <c r="P123" i="10"/>
  <c r="P122" i="10"/>
  <c r="P121" i="10"/>
  <c r="P120" i="10"/>
  <c r="P119" i="10"/>
  <c r="P118" i="10"/>
  <c r="G117" i="10"/>
  <c r="P117" i="10" s="1"/>
  <c r="P116" i="10"/>
  <c r="P115" i="10"/>
  <c r="P114" i="10"/>
  <c r="P113" i="10"/>
  <c r="P112" i="10"/>
  <c r="P111" i="10"/>
  <c r="P110" i="10"/>
  <c r="P109" i="10"/>
  <c r="P108" i="10"/>
  <c r="P107" i="10"/>
  <c r="P106" i="10"/>
  <c r="P105" i="10"/>
  <c r="P104" i="10"/>
  <c r="P103" i="10"/>
  <c r="P102" i="10"/>
  <c r="P101" i="10"/>
  <c r="P100" i="10"/>
  <c r="P99" i="10"/>
  <c r="P98" i="10"/>
  <c r="P97" i="10"/>
  <c r="P96" i="10"/>
  <c r="P95" i="10"/>
  <c r="P94" i="10"/>
  <c r="P93" i="10"/>
  <c r="P92" i="10"/>
  <c r="P91" i="10"/>
  <c r="P90" i="10"/>
  <c r="P89" i="10"/>
  <c r="P88" i="10"/>
  <c r="P87" i="10"/>
  <c r="G86" i="10"/>
  <c r="P86" i="10" s="1"/>
  <c r="P85" i="10"/>
  <c r="P84" i="10"/>
  <c r="P83" i="10"/>
  <c r="P82" i="10"/>
  <c r="P81" i="10"/>
  <c r="P80" i="10"/>
  <c r="P79" i="10"/>
  <c r="P78" i="10"/>
  <c r="P77" i="10"/>
  <c r="P76" i="10"/>
  <c r="P75" i="10"/>
  <c r="P74" i="10"/>
  <c r="P73" i="10"/>
  <c r="P72" i="10"/>
  <c r="P71" i="10"/>
  <c r="P70" i="10"/>
  <c r="P69" i="10"/>
  <c r="P68" i="10"/>
  <c r="P67" i="10"/>
  <c r="P66" i="10"/>
  <c r="P65" i="10"/>
  <c r="P64" i="10"/>
  <c r="P63" i="10"/>
  <c r="P62" i="10"/>
  <c r="P61" i="10"/>
  <c r="P60" i="10"/>
  <c r="P59" i="10"/>
  <c r="P58" i="10"/>
  <c r="P57" i="10"/>
  <c r="P56" i="10"/>
  <c r="P55" i="10"/>
  <c r="P54" i="10"/>
  <c r="P53" i="10"/>
  <c r="P52" i="10"/>
  <c r="P51" i="10"/>
  <c r="P50" i="10"/>
  <c r="P49" i="10"/>
  <c r="P48" i="10"/>
  <c r="P47" i="10"/>
  <c r="P46" i="10"/>
  <c r="P45" i="10"/>
  <c r="P44" i="10"/>
  <c r="P43" i="10"/>
  <c r="P42" i="10"/>
  <c r="P41" i="10"/>
  <c r="P40" i="10"/>
  <c r="P39" i="10"/>
  <c r="P38" i="10"/>
  <c r="P37" i="10"/>
  <c r="P36" i="10"/>
  <c r="P35" i="10"/>
  <c r="P34" i="10"/>
  <c r="P33" i="10"/>
  <c r="P32" i="10"/>
  <c r="P31" i="10"/>
  <c r="P30" i="10"/>
  <c r="P29" i="10"/>
  <c r="P28" i="10"/>
  <c r="G27" i="10"/>
  <c r="P27" i="10" s="1"/>
  <c r="P26" i="10"/>
  <c r="P25" i="10"/>
  <c r="P24" i="10"/>
  <c r="P23" i="10"/>
  <c r="P22" i="10"/>
  <c r="P21" i="10"/>
  <c r="P20" i="10"/>
  <c r="P19" i="10"/>
  <c r="P18" i="10"/>
  <c r="P17" i="10"/>
  <c r="P16" i="10"/>
  <c r="P15" i="10"/>
  <c r="P14" i="10"/>
  <c r="P219" i="10" l="1"/>
  <c r="P212" i="10"/>
  <c r="P153" i="10"/>
  <c r="P256" i="10"/>
  <c r="P299" i="10"/>
  <c r="I153" i="7"/>
  <c r="G153" i="7"/>
  <c r="G27" i="7" l="1"/>
  <c r="I211" i="7" l="1"/>
  <c r="G211" i="7"/>
  <c r="I298" i="7" l="1"/>
  <c r="G298" i="7" l="1"/>
  <c r="G257" i="7" l="1"/>
  <c r="P257" i="7" s="1"/>
  <c r="G256" i="7"/>
  <c r="G290" i="7" l="1"/>
  <c r="I255" i="7" l="1"/>
  <c r="K255" i="7"/>
  <c r="G226" i="7" l="1"/>
  <c r="I218" i="7"/>
  <c r="G218" i="7"/>
  <c r="P165" i="7" l="1"/>
  <c r="G86" i="7" l="1"/>
  <c r="G127" i="7" l="1"/>
  <c r="P127" i="7" s="1"/>
  <c r="G117" i="7" l="1"/>
  <c r="G126" i="7" l="1"/>
  <c r="G292" i="7" l="1"/>
  <c r="G192" i="7" l="1"/>
  <c r="G237" i="7" l="1"/>
  <c r="G255" i="7" l="1"/>
  <c r="P209" i="7" l="1"/>
  <c r="P148" i="7" l="1"/>
  <c r="P210" i="7" l="1"/>
  <c r="M89" i="1" l="1"/>
  <c r="K89" i="1"/>
  <c r="I89" i="1"/>
  <c r="G89" i="1"/>
  <c r="P250" i="9"/>
  <c r="P249" i="9"/>
  <c r="P248" i="9"/>
  <c r="P247" i="9"/>
  <c r="P246" i="9"/>
  <c r="P245" i="9"/>
  <c r="P244" i="9"/>
  <c r="P243" i="9"/>
  <c r="P242" i="9"/>
  <c r="P241" i="9"/>
  <c r="P240" i="9"/>
  <c r="P239" i="9"/>
  <c r="P238" i="9"/>
  <c r="P237" i="9"/>
  <c r="P236" i="9"/>
  <c r="P234" i="9"/>
  <c r="P233" i="9"/>
  <c r="P232" i="9"/>
  <c r="P231" i="9"/>
  <c r="P230" i="9"/>
  <c r="P229" i="9"/>
  <c r="P228" i="9"/>
  <c r="P227" i="9"/>
  <c r="P226" i="9"/>
  <c r="P225" i="9"/>
  <c r="P224" i="9"/>
  <c r="P223" i="9"/>
  <c r="P222" i="9"/>
  <c r="P221" i="9"/>
  <c r="P220" i="9"/>
  <c r="P219" i="9"/>
  <c r="P218" i="9"/>
  <c r="P216" i="9"/>
  <c r="P215" i="9"/>
  <c r="P214" i="9"/>
  <c r="P212" i="9"/>
  <c r="P210" i="9"/>
  <c r="P209" i="9"/>
  <c r="P208" i="9"/>
  <c r="P207" i="9"/>
  <c r="P206" i="9"/>
  <c r="P205" i="9"/>
  <c r="P204" i="9"/>
  <c r="P202" i="9"/>
  <c r="P201" i="9"/>
  <c r="P199" i="9"/>
  <c r="P197" i="9"/>
  <c r="P196" i="9"/>
  <c r="P195" i="9"/>
  <c r="P194" i="9"/>
  <c r="P193" i="9"/>
  <c r="P192" i="9"/>
  <c r="P191" i="9"/>
  <c r="P189" i="9"/>
  <c r="P188" i="9"/>
  <c r="P187" i="9"/>
  <c r="P186" i="9"/>
  <c r="P185" i="9"/>
  <c r="P184" i="9"/>
  <c r="P183" i="9"/>
  <c r="P182" i="9"/>
  <c r="P181" i="9"/>
  <c r="P180" i="9"/>
  <c r="P179" i="9"/>
  <c r="P178" i="9"/>
  <c r="P177" i="9"/>
  <c r="P176" i="9"/>
  <c r="P175" i="9"/>
  <c r="P174" i="9"/>
  <c r="P173" i="9"/>
  <c r="P172" i="9"/>
  <c r="P171" i="9"/>
  <c r="P170" i="9"/>
  <c r="P169" i="9"/>
  <c r="P168" i="9"/>
  <c r="P167" i="9"/>
  <c r="P166" i="9"/>
  <c r="P165" i="9"/>
  <c r="P164" i="9"/>
  <c r="P163" i="9"/>
  <c r="P162" i="9"/>
  <c r="P160" i="9"/>
  <c r="P159" i="9"/>
  <c r="P157" i="9"/>
  <c r="P156" i="9"/>
  <c r="P155" i="9"/>
  <c r="P154" i="9"/>
  <c r="P153" i="9"/>
  <c r="P152" i="9"/>
  <c r="P150" i="9"/>
  <c r="P149" i="9"/>
  <c r="P148" i="9"/>
  <c r="P147" i="9"/>
  <c r="P146" i="9"/>
  <c r="P145" i="9"/>
  <c r="P144" i="9"/>
  <c r="P143" i="9"/>
  <c r="P142" i="9"/>
  <c r="P141" i="9"/>
  <c r="P140" i="9"/>
  <c r="P139" i="9"/>
  <c r="P138" i="9"/>
  <c r="P137" i="9"/>
  <c r="P134" i="9"/>
  <c r="P133" i="9"/>
  <c r="P132" i="9"/>
  <c r="P131" i="9"/>
  <c r="P130" i="9"/>
  <c r="P129" i="9"/>
  <c r="P128" i="9"/>
  <c r="P127" i="9"/>
  <c r="P126" i="9"/>
  <c r="P125" i="9"/>
  <c r="P124" i="9"/>
  <c r="P122" i="9"/>
  <c r="P121" i="9"/>
  <c r="P120" i="9"/>
  <c r="P119" i="9"/>
  <c r="P118" i="9"/>
  <c r="P117" i="9"/>
  <c r="P116" i="9"/>
  <c r="P115" i="9"/>
  <c r="P114" i="9"/>
  <c r="P113" i="9"/>
  <c r="P112" i="9"/>
  <c r="P111" i="9"/>
  <c r="P110" i="9"/>
  <c r="P109" i="9"/>
  <c r="P108" i="9"/>
  <c r="P107" i="9"/>
  <c r="P106" i="9"/>
  <c r="P104" i="9"/>
  <c r="P103" i="9"/>
  <c r="P102" i="9"/>
  <c r="P101" i="9"/>
  <c r="P100" i="9"/>
  <c r="P99" i="9"/>
  <c r="P97" i="9"/>
  <c r="P95" i="9"/>
  <c r="P94" i="9"/>
  <c r="P93" i="9"/>
  <c r="P92" i="9"/>
  <c r="P91" i="9"/>
  <c r="P90" i="9"/>
  <c r="P89" i="9"/>
  <c r="P88" i="9"/>
  <c r="P87" i="9"/>
  <c r="P86" i="9"/>
  <c r="P85" i="9"/>
  <c r="P84" i="9"/>
  <c r="P83" i="9"/>
  <c r="P82" i="9"/>
  <c r="P81" i="9"/>
  <c r="P80" i="9"/>
  <c r="P79" i="9"/>
  <c r="P78" i="9"/>
  <c r="P77" i="9"/>
  <c r="P76" i="9"/>
  <c r="P75" i="9"/>
  <c r="P74" i="9"/>
  <c r="P73" i="9"/>
  <c r="P72" i="9"/>
  <c r="P71" i="9"/>
  <c r="P70" i="9"/>
  <c r="P69" i="9"/>
  <c r="P68" i="9"/>
  <c r="P67" i="9"/>
  <c r="P66" i="9"/>
  <c r="P65" i="9"/>
  <c r="P64" i="9"/>
  <c r="P63" i="9"/>
  <c r="P62" i="9"/>
  <c r="P61" i="9"/>
  <c r="P60" i="9"/>
  <c r="P59" i="9"/>
  <c r="P57" i="9"/>
  <c r="P56" i="9"/>
  <c r="P55" i="9"/>
  <c r="P54" i="9"/>
  <c r="P53" i="9"/>
  <c r="P52" i="9"/>
  <c r="P51" i="9"/>
  <c r="P50" i="9"/>
  <c r="P49" i="9"/>
  <c r="P48" i="9"/>
  <c r="P47" i="9"/>
  <c r="P46" i="9"/>
  <c r="P45" i="9"/>
  <c r="P44" i="9"/>
  <c r="P43" i="9"/>
  <c r="P42" i="9"/>
  <c r="P41" i="9"/>
  <c r="P40" i="9"/>
  <c r="P39" i="9"/>
  <c r="P38" i="9"/>
  <c r="P37" i="9"/>
  <c r="P36" i="9"/>
  <c r="P35" i="9"/>
  <c r="P34" i="9"/>
  <c r="P33" i="9"/>
  <c r="P32" i="9"/>
  <c r="P31" i="9"/>
  <c r="P30" i="9"/>
  <c r="P29" i="9"/>
  <c r="P28" i="9"/>
  <c r="P27" i="9"/>
  <c r="P26" i="9"/>
  <c r="P25" i="9"/>
  <c r="P24" i="9"/>
  <c r="P23" i="9"/>
  <c r="P22" i="9"/>
  <c r="P21" i="9"/>
  <c r="P20" i="9"/>
  <c r="P19" i="9"/>
  <c r="P18" i="9"/>
  <c r="P17" i="9"/>
  <c r="P16" i="9"/>
  <c r="P15" i="9"/>
  <c r="P14" i="9"/>
  <c r="N225" i="8"/>
  <c r="N224" i="8"/>
  <c r="N223" i="8"/>
  <c r="N222" i="8"/>
  <c r="N221" i="8"/>
  <c r="N220" i="8"/>
  <c r="N218" i="8"/>
  <c r="N217" i="8"/>
  <c r="N216" i="8"/>
  <c r="N215" i="8"/>
  <c r="N214" i="8"/>
  <c r="N213" i="8"/>
  <c r="N212" i="8"/>
  <c r="N211" i="8"/>
  <c r="N210" i="8"/>
  <c r="N209" i="8"/>
  <c r="N208" i="8"/>
  <c r="N207" i="8"/>
  <c r="N206" i="8"/>
  <c r="N205" i="8"/>
  <c r="N204" i="8"/>
  <c r="N203" i="8"/>
  <c r="N202" i="8"/>
  <c r="N201" i="8"/>
  <c r="N200" i="8"/>
  <c r="N199" i="8"/>
  <c r="N198" i="8"/>
  <c r="N197" i="8"/>
  <c r="N196" i="8"/>
  <c r="N195" i="8"/>
  <c r="N194" i="8"/>
  <c r="N193" i="8"/>
  <c r="N192" i="8"/>
  <c r="N191" i="8"/>
  <c r="N190" i="8"/>
  <c r="N189" i="8"/>
  <c r="N188" i="8"/>
  <c r="N187" i="8"/>
  <c r="N186" i="8"/>
  <c r="N185" i="8"/>
  <c r="N184" i="8"/>
  <c r="N183" i="8"/>
  <c r="N182" i="8"/>
  <c r="N181" i="8"/>
  <c r="N180" i="8"/>
  <c r="N179" i="8"/>
  <c r="N178" i="8"/>
  <c r="N177" i="8"/>
  <c r="N176" i="8"/>
  <c r="N175" i="8"/>
  <c r="N174" i="8"/>
  <c r="N173" i="8"/>
  <c r="N172" i="8"/>
  <c r="N171" i="8"/>
  <c r="N170" i="8"/>
  <c r="N169" i="8"/>
  <c r="N168" i="8"/>
  <c r="N167" i="8"/>
  <c r="N166" i="8"/>
  <c r="N165" i="8"/>
  <c r="N164" i="8"/>
  <c r="N163" i="8"/>
  <c r="N162" i="8"/>
  <c r="N161" i="8"/>
  <c r="N160" i="8"/>
  <c r="N159" i="8"/>
  <c r="N158" i="8"/>
  <c r="N157" i="8"/>
  <c r="N156" i="8"/>
  <c r="N155" i="8"/>
  <c r="N154" i="8"/>
  <c r="N153" i="8"/>
  <c r="N152" i="8"/>
  <c r="N151" i="8"/>
  <c r="N150" i="8"/>
  <c r="N149" i="8"/>
  <c r="N148" i="8"/>
  <c r="N147" i="8"/>
  <c r="N146" i="8"/>
  <c r="N145" i="8"/>
  <c r="N144" i="8"/>
  <c r="N143" i="8"/>
  <c r="N142" i="8"/>
  <c r="N141" i="8"/>
  <c r="N140" i="8"/>
  <c r="N139" i="8"/>
  <c r="N138" i="8"/>
  <c r="N137" i="8"/>
  <c r="N136" i="8"/>
  <c r="N135" i="8"/>
  <c r="N134" i="8"/>
  <c r="N133" i="8"/>
  <c r="N132" i="8"/>
  <c r="N131" i="8"/>
  <c r="N130" i="8"/>
  <c r="N129" i="8"/>
  <c r="N128" i="8"/>
  <c r="N127" i="8"/>
  <c r="N126" i="8"/>
  <c r="N125" i="8"/>
  <c r="N124" i="8"/>
  <c r="N123" i="8"/>
  <c r="N122" i="8"/>
  <c r="N121" i="8"/>
  <c r="N120" i="8"/>
  <c r="N119" i="8"/>
  <c r="N118" i="8"/>
  <c r="N117" i="8"/>
  <c r="N116" i="8"/>
  <c r="N115" i="8"/>
  <c r="N114" i="8"/>
  <c r="N113" i="8"/>
  <c r="N112" i="8"/>
  <c r="N110" i="8"/>
  <c r="N109" i="8"/>
  <c r="N108" i="8"/>
  <c r="N107" i="8"/>
  <c r="N106" i="8"/>
  <c r="N105" i="8"/>
  <c r="N104" i="8"/>
  <c r="N102" i="8"/>
  <c r="N101" i="8"/>
  <c r="N100" i="8"/>
  <c r="N99" i="8"/>
  <c r="N98" i="8"/>
  <c r="N97" i="8"/>
  <c r="N96" i="8"/>
  <c r="N95" i="8"/>
  <c r="N94" i="8"/>
  <c r="N93" i="8"/>
  <c r="N92" i="8"/>
  <c r="N91" i="8"/>
  <c r="N90" i="8"/>
  <c r="N89" i="8"/>
  <c r="N88" i="8"/>
  <c r="N87" i="8"/>
  <c r="N86" i="8"/>
  <c r="N85" i="8"/>
  <c r="N84" i="8"/>
  <c r="N83" i="8"/>
  <c r="N82" i="8"/>
  <c r="N81" i="8"/>
  <c r="N80" i="8"/>
  <c r="N79" i="8"/>
  <c r="N78" i="8"/>
  <c r="N77" i="8"/>
  <c r="N76" i="8"/>
  <c r="N75" i="8"/>
  <c r="N74" i="8"/>
  <c r="N73" i="8"/>
  <c r="N72" i="8"/>
  <c r="N71" i="8"/>
  <c r="N70" i="8"/>
  <c r="N69" i="8"/>
  <c r="N68" i="8"/>
  <c r="N67" i="8"/>
  <c r="N66" i="8"/>
  <c r="N65" i="8"/>
  <c r="N64" i="8"/>
  <c r="N63" i="8"/>
  <c r="N62" i="8"/>
  <c r="N61" i="8"/>
  <c r="N60" i="8"/>
  <c r="N59" i="8"/>
  <c r="N58" i="8"/>
  <c r="N57" i="8"/>
  <c r="N56" i="8"/>
  <c r="N55" i="8"/>
  <c r="N54" i="8"/>
  <c r="N53" i="8"/>
  <c r="N52" i="8"/>
  <c r="N51" i="8"/>
  <c r="N50" i="8"/>
  <c r="N49" i="8"/>
  <c r="N48" i="8"/>
  <c r="N47" i="8"/>
  <c r="N46" i="8"/>
  <c r="N45" i="8"/>
  <c r="N44" i="8"/>
  <c r="N43" i="8"/>
  <c r="N42" i="8"/>
  <c r="N41" i="8"/>
  <c r="N40" i="8"/>
  <c r="N39" i="8"/>
  <c r="N38" i="8"/>
  <c r="N37" i="8"/>
  <c r="N36" i="8"/>
  <c r="N35" i="8"/>
  <c r="N34" i="8"/>
  <c r="N33" i="8"/>
  <c r="N32" i="8"/>
  <c r="N31" i="8"/>
  <c r="N30" i="8"/>
  <c r="N29" i="8"/>
  <c r="N28" i="8"/>
  <c r="N27" i="8"/>
  <c r="N26" i="8"/>
  <c r="N25" i="8"/>
  <c r="N24" i="8"/>
  <c r="N23" i="8"/>
  <c r="N22" i="8"/>
  <c r="N21" i="8"/>
  <c r="N20" i="8"/>
  <c r="N19" i="8"/>
  <c r="N18" i="8"/>
  <c r="N17" i="8"/>
  <c r="N16" i="8"/>
  <c r="N15" i="8"/>
  <c r="N14" i="8"/>
  <c r="P301" i="7"/>
  <c r="P300" i="7"/>
  <c r="P299" i="7"/>
  <c r="P298" i="7"/>
  <c r="P297" i="7"/>
  <c r="P296" i="7"/>
  <c r="P295" i="7"/>
  <c r="P294" i="7"/>
  <c r="P293" i="7"/>
  <c r="P292" i="7"/>
  <c r="P291" i="7"/>
  <c r="P290" i="7"/>
  <c r="P289" i="7"/>
  <c r="P288" i="7"/>
  <c r="P287" i="7"/>
  <c r="P286" i="7"/>
  <c r="P285" i="7"/>
  <c r="P284" i="7"/>
  <c r="P283" i="7"/>
  <c r="P282" i="7"/>
  <c r="P281" i="7"/>
  <c r="P280" i="7"/>
  <c r="P279" i="7"/>
  <c r="P278" i="7"/>
  <c r="P277" i="7"/>
  <c r="P276" i="7"/>
  <c r="P275" i="7"/>
  <c r="P274" i="7"/>
  <c r="P273" i="7"/>
  <c r="P272" i="7"/>
  <c r="P271" i="7"/>
  <c r="P270" i="7"/>
  <c r="P269" i="7"/>
  <c r="P268" i="7"/>
  <c r="P267" i="7"/>
  <c r="P266" i="7"/>
  <c r="P265" i="7"/>
  <c r="P264" i="7"/>
  <c r="P263" i="7"/>
  <c r="P262" i="7"/>
  <c r="P261" i="7"/>
  <c r="P260" i="7"/>
  <c r="P259" i="7"/>
  <c r="P258" i="7"/>
  <c r="P256" i="7"/>
  <c r="P255" i="7"/>
  <c r="P254" i="7"/>
  <c r="P253" i="7"/>
  <c r="P252" i="7"/>
  <c r="P251" i="7"/>
  <c r="P250" i="7"/>
  <c r="P249" i="7"/>
  <c r="P248" i="7"/>
  <c r="P247" i="7"/>
  <c r="P246" i="7"/>
  <c r="P245" i="7"/>
  <c r="P244" i="7"/>
  <c r="P243" i="7"/>
  <c r="P242" i="7"/>
  <c r="P241" i="7"/>
  <c r="P239" i="7"/>
  <c r="P240" i="7" s="1"/>
  <c r="P238" i="7"/>
  <c r="P237" i="7"/>
  <c r="P236" i="7"/>
  <c r="P235" i="7"/>
  <c r="P234" i="7"/>
  <c r="P233" i="7"/>
  <c r="P232" i="7"/>
  <c r="P231" i="7"/>
  <c r="P230" i="7"/>
  <c r="P229" i="7"/>
  <c r="P228" i="7"/>
  <c r="P227" i="7"/>
  <c r="P226" i="7"/>
  <c r="P225" i="7"/>
  <c r="P224" i="7"/>
  <c r="P223" i="7"/>
  <c r="P222" i="7"/>
  <c r="P221" i="7"/>
  <c r="P220" i="7"/>
  <c r="P219" i="7"/>
  <c r="P218" i="7"/>
  <c r="P217" i="7"/>
  <c r="P216" i="7"/>
  <c r="P215" i="7"/>
  <c r="P214" i="7"/>
  <c r="P213" i="7"/>
  <c r="P212" i="7"/>
  <c r="P211" i="7"/>
  <c r="P208" i="7"/>
  <c r="P207" i="7"/>
  <c r="P206" i="7"/>
  <c r="P205" i="7"/>
  <c r="P204" i="7"/>
  <c r="P203" i="7"/>
  <c r="P202" i="7"/>
  <c r="P201" i="7"/>
  <c r="P200" i="7"/>
  <c r="P199" i="7"/>
  <c r="P198" i="7"/>
  <c r="P197" i="7"/>
  <c r="P196" i="7"/>
  <c r="P195" i="7"/>
  <c r="P194" i="7"/>
  <c r="P193" i="7"/>
  <c r="P192" i="7"/>
  <c r="P191" i="7"/>
  <c r="P190" i="7"/>
  <c r="P189" i="7"/>
  <c r="P188" i="7"/>
  <c r="P187" i="7"/>
  <c r="P186" i="7"/>
  <c r="P185" i="7"/>
  <c r="P184" i="7"/>
  <c r="P183" i="7"/>
  <c r="P182" i="7"/>
  <c r="P181" i="7"/>
  <c r="P180" i="7"/>
  <c r="P179" i="7"/>
  <c r="P178" i="7"/>
  <c r="P177" i="7"/>
  <c r="P176" i="7"/>
  <c r="P175" i="7"/>
  <c r="P174" i="7"/>
  <c r="P173" i="7"/>
  <c r="P172" i="7"/>
  <c r="P171" i="7"/>
  <c r="P170" i="7"/>
  <c r="P169" i="7"/>
  <c r="P168" i="7"/>
  <c r="P167" i="7"/>
  <c r="P166" i="7"/>
  <c r="P164" i="7"/>
  <c r="P163" i="7"/>
  <c r="P162" i="7"/>
  <c r="P161" i="7"/>
  <c r="P160" i="7"/>
  <c r="P159" i="7"/>
  <c r="P158" i="7"/>
  <c r="P157" i="7"/>
  <c r="P156" i="7"/>
  <c r="P155" i="7"/>
  <c r="P154" i="7"/>
  <c r="P153" i="7"/>
  <c r="P152" i="7"/>
  <c r="P151" i="7"/>
  <c r="P150" i="7"/>
  <c r="P149" i="7"/>
  <c r="P147" i="7"/>
  <c r="P146" i="7"/>
  <c r="P145" i="7"/>
  <c r="P144" i="7"/>
  <c r="P143" i="7"/>
  <c r="P142" i="7"/>
  <c r="P141" i="7"/>
  <c r="P140" i="7"/>
  <c r="P139" i="7"/>
  <c r="P138" i="7"/>
  <c r="P137" i="7"/>
  <c r="P136" i="7"/>
  <c r="P135" i="7"/>
  <c r="P134" i="7"/>
  <c r="P133" i="7"/>
  <c r="P132" i="7"/>
  <c r="P131" i="7"/>
  <c r="P130" i="7"/>
  <c r="P129" i="7"/>
  <c r="P128" i="7"/>
  <c r="P126" i="7"/>
  <c r="P125" i="7"/>
  <c r="P124" i="7"/>
  <c r="P123" i="7"/>
  <c r="P122" i="7"/>
  <c r="P121" i="7"/>
  <c r="P120" i="7"/>
  <c r="P119" i="7"/>
  <c r="P118" i="7"/>
  <c r="P117" i="7"/>
  <c r="P116" i="7"/>
  <c r="P115" i="7"/>
  <c r="P114" i="7"/>
  <c r="P113" i="7"/>
  <c r="P112" i="7"/>
  <c r="P111" i="7"/>
  <c r="P110" i="7"/>
  <c r="P109" i="7"/>
  <c r="P108" i="7"/>
  <c r="P107" i="7"/>
  <c r="P106" i="7"/>
  <c r="P105" i="7"/>
  <c r="P104" i="7"/>
  <c r="P103" i="7"/>
  <c r="P102" i="7"/>
  <c r="P101" i="7"/>
  <c r="P100" i="7"/>
  <c r="P99" i="7"/>
  <c r="P98" i="7"/>
  <c r="P97" i="7"/>
  <c r="P96" i="7"/>
  <c r="P95" i="7"/>
  <c r="P94" i="7"/>
  <c r="P93" i="7"/>
  <c r="P92" i="7"/>
  <c r="P91" i="7"/>
  <c r="P90" i="7"/>
  <c r="P89" i="7"/>
  <c r="P88" i="7"/>
  <c r="P87" i="7"/>
  <c r="P86" i="7"/>
  <c r="P85" i="7"/>
  <c r="P84" i="7"/>
  <c r="P83" i="7"/>
  <c r="P82" i="7"/>
  <c r="P81" i="7"/>
  <c r="P80" i="7"/>
  <c r="P79" i="7"/>
  <c r="P78" i="7"/>
  <c r="P77" i="7"/>
  <c r="P76" i="7"/>
  <c r="P75" i="7"/>
  <c r="P74" i="7"/>
  <c r="P73" i="7"/>
  <c r="P72" i="7"/>
  <c r="P71" i="7"/>
  <c r="P70" i="7"/>
  <c r="P69" i="7"/>
  <c r="P68" i="7"/>
  <c r="P67" i="7"/>
  <c r="P66" i="7"/>
  <c r="P65" i="7"/>
  <c r="P64" i="7"/>
  <c r="P63" i="7"/>
  <c r="P62" i="7"/>
  <c r="P61" i="7"/>
  <c r="P60" i="7"/>
  <c r="P59" i="7"/>
  <c r="P58" i="7"/>
  <c r="P57" i="7"/>
  <c r="P56" i="7"/>
  <c r="P55" i="7"/>
  <c r="P54" i="7"/>
  <c r="P53" i="7"/>
  <c r="P52" i="7"/>
  <c r="P51" i="7"/>
  <c r="P50" i="7"/>
  <c r="P49" i="7"/>
  <c r="P48" i="7"/>
  <c r="P47" i="7"/>
  <c r="P46" i="7"/>
  <c r="P45" i="7"/>
  <c r="P44" i="7"/>
  <c r="P43" i="7"/>
  <c r="P42" i="7"/>
  <c r="P41" i="7"/>
  <c r="P40" i="7"/>
  <c r="P39" i="7"/>
  <c r="P38" i="7"/>
  <c r="P37" i="7"/>
  <c r="P36" i="7"/>
  <c r="P35" i="7"/>
  <c r="P34" i="7"/>
  <c r="P33" i="7"/>
  <c r="P32" i="7"/>
  <c r="P31" i="7"/>
  <c r="P30" i="7"/>
  <c r="P29" i="7"/>
  <c r="P28" i="7"/>
  <c r="P27" i="7"/>
  <c r="P26" i="7"/>
  <c r="P25" i="7"/>
  <c r="P24" i="7"/>
  <c r="P23" i="7"/>
  <c r="P22" i="7"/>
  <c r="P21" i="7"/>
  <c r="P20" i="7"/>
  <c r="P19" i="7"/>
  <c r="P18" i="7"/>
  <c r="P17" i="7"/>
  <c r="P16" i="7"/>
  <c r="P15" i="7"/>
  <c r="P14" i="7"/>
  <c r="I171" i="1"/>
  <c r="G171" i="1"/>
  <c r="P161" i="1"/>
  <c r="I158" i="1"/>
  <c r="G158" i="1"/>
  <c r="P180" i="1"/>
  <c r="G179" i="1"/>
  <c r="P179" i="1" s="1"/>
  <c r="I307" i="1"/>
  <c r="G307" i="1"/>
  <c r="G220" i="1"/>
  <c r="P220" i="1" s="1"/>
  <c r="G269" i="1"/>
  <c r="P269" i="1" s="1"/>
  <c r="G173" i="1"/>
  <c r="P132" i="1"/>
  <c r="P24" i="1"/>
  <c r="P152" i="1"/>
  <c r="G273" i="1"/>
  <c r="P273" i="1" s="1"/>
  <c r="G63" i="1"/>
  <c r="P63" i="1" s="1"/>
  <c r="G174" i="1"/>
  <c r="P174" i="1" s="1"/>
  <c r="G231" i="1"/>
  <c r="P231" i="1" s="1"/>
  <c r="P311" i="5"/>
  <c r="P310" i="5"/>
  <c r="P309" i="5"/>
  <c r="P308" i="5"/>
  <c r="P307" i="5"/>
  <c r="P306" i="5"/>
  <c r="P305" i="5"/>
  <c r="P304" i="5"/>
  <c r="P303" i="5"/>
  <c r="P302" i="5"/>
  <c r="P301" i="5"/>
  <c r="P300" i="5"/>
  <c r="P299" i="5"/>
  <c r="P298" i="5"/>
  <c r="P297" i="5"/>
  <c r="P296" i="5"/>
  <c r="P295" i="5"/>
  <c r="P294" i="5"/>
  <c r="P293" i="5"/>
  <c r="P292" i="5"/>
  <c r="P291" i="5"/>
  <c r="P290" i="5"/>
  <c r="P289" i="5"/>
  <c r="P288" i="5"/>
  <c r="P287" i="5"/>
  <c r="P286" i="5"/>
  <c r="P285" i="5"/>
  <c r="P284" i="5"/>
  <c r="P283" i="5"/>
  <c r="P282" i="5"/>
  <c r="P281" i="5"/>
  <c r="P280" i="5"/>
  <c r="P279" i="5"/>
  <c r="P278" i="5"/>
  <c r="P277" i="5"/>
  <c r="P276" i="5"/>
  <c r="P275" i="5"/>
  <c r="P274" i="5"/>
  <c r="P273" i="5"/>
  <c r="P272" i="5"/>
  <c r="P271" i="5"/>
  <c r="P270" i="5"/>
  <c r="P269" i="5"/>
  <c r="P268" i="5"/>
  <c r="P267" i="5"/>
  <c r="P266" i="5"/>
  <c r="P265" i="5"/>
  <c r="P264" i="5"/>
  <c r="P263" i="5"/>
  <c r="P262" i="5"/>
  <c r="P261" i="5"/>
  <c r="P260" i="5"/>
  <c r="P259" i="5"/>
  <c r="P258" i="5"/>
  <c r="P257" i="5"/>
  <c r="P256" i="5"/>
  <c r="P255" i="5"/>
  <c r="P254" i="5"/>
  <c r="P253" i="5"/>
  <c r="P252" i="5"/>
  <c r="P251" i="5"/>
  <c r="P250" i="5"/>
  <c r="P249" i="5"/>
  <c r="P248" i="5"/>
  <c r="P246" i="5"/>
  <c r="P247" i="5" s="1"/>
  <c r="P245" i="5"/>
  <c r="P244" i="5"/>
  <c r="P243" i="5"/>
  <c r="P242" i="5"/>
  <c r="P241" i="5"/>
  <c r="P240" i="5"/>
  <c r="P239" i="5"/>
  <c r="P238" i="5"/>
  <c r="P237" i="5"/>
  <c r="P236" i="5"/>
  <c r="P235" i="5"/>
  <c r="P234" i="5"/>
  <c r="P233" i="5"/>
  <c r="P232" i="5"/>
  <c r="P231" i="5"/>
  <c r="P230" i="5"/>
  <c r="P229" i="5"/>
  <c r="P228" i="5"/>
  <c r="P227" i="5"/>
  <c r="P226" i="5"/>
  <c r="P225" i="5"/>
  <c r="P224" i="5"/>
  <c r="P223" i="5"/>
  <c r="P222" i="5"/>
  <c r="P221" i="5"/>
  <c r="P220" i="5"/>
  <c r="P219" i="5"/>
  <c r="P218" i="5"/>
  <c r="P217" i="5"/>
  <c r="P216" i="5"/>
  <c r="P215" i="5"/>
  <c r="P214" i="5"/>
  <c r="P213" i="5"/>
  <c r="P212" i="5"/>
  <c r="P211" i="5"/>
  <c r="P210" i="5"/>
  <c r="P209" i="5"/>
  <c r="P208" i="5"/>
  <c r="P207" i="5"/>
  <c r="P206" i="5"/>
  <c r="P205" i="5"/>
  <c r="P204" i="5"/>
  <c r="P203" i="5"/>
  <c r="P202" i="5"/>
  <c r="P201" i="5"/>
  <c r="P200" i="5"/>
  <c r="P199" i="5"/>
  <c r="P198" i="5"/>
  <c r="P197" i="5"/>
  <c r="P196" i="5"/>
  <c r="P195" i="5"/>
  <c r="P194" i="5"/>
  <c r="P193" i="5"/>
  <c r="P192" i="5"/>
  <c r="P191" i="5"/>
  <c r="P190" i="5"/>
  <c r="P189" i="5"/>
  <c r="P188" i="5"/>
  <c r="P187" i="5"/>
  <c r="P186" i="5"/>
  <c r="P185" i="5"/>
  <c r="P184" i="5"/>
  <c r="P183" i="5"/>
  <c r="P182" i="5"/>
  <c r="P181" i="5"/>
  <c r="P180" i="5"/>
  <c r="P179" i="5"/>
  <c r="P178" i="5"/>
  <c r="P177" i="5"/>
  <c r="P176" i="5"/>
  <c r="P175" i="5"/>
  <c r="P174" i="5"/>
  <c r="P173" i="5"/>
  <c r="P172" i="5"/>
  <c r="P171" i="5"/>
  <c r="P170" i="5"/>
  <c r="P169" i="5"/>
  <c r="P168" i="5"/>
  <c r="P167" i="5"/>
  <c r="P166" i="5"/>
  <c r="P165" i="5"/>
  <c r="P164" i="5"/>
  <c r="P163" i="5"/>
  <c r="P162" i="5"/>
  <c r="P161" i="5"/>
  <c r="P160" i="5"/>
  <c r="P159" i="5"/>
  <c r="P158" i="5"/>
  <c r="P157" i="5"/>
  <c r="P156" i="5"/>
  <c r="P155" i="5"/>
  <c r="P154" i="5"/>
  <c r="P153" i="5"/>
  <c r="P152" i="5"/>
  <c r="P151" i="5"/>
  <c r="P150" i="5"/>
  <c r="P149" i="5"/>
  <c r="P148" i="5"/>
  <c r="P147" i="5"/>
  <c r="P146" i="5"/>
  <c r="P145" i="5"/>
  <c r="P144" i="5"/>
  <c r="P143" i="5"/>
  <c r="P142" i="5"/>
  <c r="P141" i="5"/>
  <c r="P140" i="5"/>
  <c r="P139" i="5"/>
  <c r="P138" i="5"/>
  <c r="P137" i="5"/>
  <c r="P136" i="5"/>
  <c r="P135" i="5"/>
  <c r="P134" i="5"/>
  <c r="P133" i="5"/>
  <c r="P132" i="5"/>
  <c r="P131" i="5"/>
  <c r="P130" i="5"/>
  <c r="P129" i="5"/>
  <c r="P128" i="5"/>
  <c r="P127" i="5"/>
  <c r="P126" i="5"/>
  <c r="P125" i="5"/>
  <c r="P124" i="5"/>
  <c r="P123" i="5"/>
  <c r="P122" i="5"/>
  <c r="P121" i="5"/>
  <c r="P120" i="5"/>
  <c r="P119" i="5"/>
  <c r="P118" i="5"/>
  <c r="P117" i="5"/>
  <c r="P116" i="5"/>
  <c r="P115" i="5"/>
  <c r="P114" i="5"/>
  <c r="P113" i="5"/>
  <c r="P112" i="5"/>
  <c r="P111" i="5"/>
  <c r="P110" i="5"/>
  <c r="P109" i="5"/>
  <c r="P108" i="5"/>
  <c r="P107" i="5"/>
  <c r="P106" i="5"/>
  <c r="P105" i="5"/>
  <c r="P104" i="5"/>
  <c r="P103" i="5"/>
  <c r="P102" i="5"/>
  <c r="P101" i="5"/>
  <c r="P100" i="5"/>
  <c r="P99" i="5"/>
  <c r="P98" i="5"/>
  <c r="P97" i="5"/>
  <c r="P96" i="5"/>
  <c r="P95" i="5"/>
  <c r="P94" i="5"/>
  <c r="P93" i="5"/>
  <c r="P92" i="5"/>
  <c r="P91" i="5"/>
  <c r="P90" i="5"/>
  <c r="P89" i="5"/>
  <c r="P88" i="5"/>
  <c r="P87" i="5"/>
  <c r="P86" i="5"/>
  <c r="P85" i="5"/>
  <c r="P84" i="5"/>
  <c r="P83" i="5"/>
  <c r="P82" i="5"/>
  <c r="P81" i="5"/>
  <c r="P80" i="5"/>
  <c r="P79" i="5"/>
  <c r="P78" i="5"/>
  <c r="P77" i="5"/>
  <c r="P76" i="5"/>
  <c r="P75" i="5"/>
  <c r="P74" i="5"/>
  <c r="P73" i="5"/>
  <c r="P72" i="5"/>
  <c r="P71" i="5"/>
  <c r="P70" i="5"/>
  <c r="P69" i="5"/>
  <c r="P68" i="5"/>
  <c r="P67" i="5"/>
  <c r="P66" i="5"/>
  <c r="P65" i="5"/>
  <c r="P64" i="5"/>
  <c r="P63" i="5"/>
  <c r="P62" i="5"/>
  <c r="P61" i="5"/>
  <c r="P60" i="5"/>
  <c r="P59" i="5"/>
  <c r="P58" i="5"/>
  <c r="P57" i="5"/>
  <c r="P56" i="5"/>
  <c r="P55" i="5"/>
  <c r="P54" i="5"/>
  <c r="P53" i="5"/>
  <c r="P52" i="5"/>
  <c r="P51" i="5"/>
  <c r="P50" i="5"/>
  <c r="P49" i="5"/>
  <c r="P48" i="5"/>
  <c r="P47" i="5"/>
  <c r="P46" i="5"/>
  <c r="P45" i="5"/>
  <c r="P44" i="5"/>
  <c r="P43" i="5"/>
  <c r="P42" i="5"/>
  <c r="P41" i="5"/>
  <c r="P40" i="5"/>
  <c r="P39" i="5"/>
  <c r="P38" i="5"/>
  <c r="P37" i="5"/>
  <c r="P36" i="5"/>
  <c r="P35" i="5"/>
  <c r="P34" i="5"/>
  <c r="P33" i="5"/>
  <c r="P32" i="5"/>
  <c r="P31" i="5"/>
  <c r="P30" i="5"/>
  <c r="P29" i="5"/>
  <c r="P28" i="5"/>
  <c r="P27" i="5"/>
  <c r="P26" i="5"/>
  <c r="P25" i="5"/>
  <c r="P24" i="5"/>
  <c r="P23" i="5"/>
  <c r="P22" i="5"/>
  <c r="P21" i="5"/>
  <c r="P20" i="5"/>
  <c r="P19" i="5"/>
  <c r="P18" i="5"/>
  <c r="P17" i="5"/>
  <c r="P16" i="5"/>
  <c r="P15" i="5"/>
  <c r="P14" i="5"/>
  <c r="P193" i="1"/>
  <c r="P187" i="1"/>
  <c r="P33" i="1"/>
  <c r="P160" i="1"/>
  <c r="P57" i="1"/>
  <c r="P26" i="1"/>
  <c r="P249" i="1"/>
  <c r="P250" i="1" s="1"/>
  <c r="P101" i="1"/>
  <c r="P272" i="1"/>
  <c r="P117" i="1"/>
  <c r="P291" i="1"/>
  <c r="P288" i="1"/>
  <c r="P219" i="1"/>
  <c r="P257" i="1"/>
  <c r="P147" i="1"/>
  <c r="P286" i="1"/>
  <c r="P79" i="1"/>
  <c r="P143" i="1"/>
  <c r="P77" i="1"/>
  <c r="P69" i="1"/>
  <c r="P18" i="1"/>
  <c r="P185" i="1"/>
  <c r="P186" i="1"/>
  <c r="P304" i="1"/>
  <c r="P239" i="1"/>
  <c r="P190" i="1"/>
  <c r="P14" i="1"/>
  <c r="P39" i="1"/>
  <c r="P206" i="1"/>
  <c r="P36" i="1"/>
  <c r="P156" i="1"/>
  <c r="P290" i="1"/>
  <c r="P209" i="1"/>
  <c r="P310" i="1"/>
  <c r="P309" i="1"/>
  <c r="P308" i="1"/>
  <c r="P306" i="1"/>
  <c r="P305" i="1"/>
  <c r="P303" i="1"/>
  <c r="P302" i="1"/>
  <c r="P301" i="1"/>
  <c r="P300" i="1"/>
  <c r="P299" i="1"/>
  <c r="P298" i="1"/>
  <c r="P297" i="1"/>
  <c r="P296" i="1"/>
  <c r="P295" i="1"/>
  <c r="P294" i="1"/>
  <c r="P293" i="1"/>
  <c r="P292" i="1"/>
  <c r="P289" i="1"/>
  <c r="P287" i="1"/>
  <c r="P285" i="1"/>
  <c r="P284" i="1"/>
  <c r="P283" i="1"/>
  <c r="P282" i="1"/>
  <c r="P281" i="1"/>
  <c r="P280" i="1"/>
  <c r="P279" i="1"/>
  <c r="P278" i="1"/>
  <c r="P277" i="1"/>
  <c r="P276" i="1"/>
  <c r="P275" i="1"/>
  <c r="P274" i="1"/>
  <c r="P271" i="1"/>
  <c r="P270" i="1"/>
  <c r="P268" i="1"/>
  <c r="P267" i="1"/>
  <c r="P266" i="1"/>
  <c r="P265" i="1"/>
  <c r="P264" i="1"/>
  <c r="P263" i="1"/>
  <c r="P262" i="1"/>
  <c r="P261" i="1"/>
  <c r="P260" i="1"/>
  <c r="P259" i="1"/>
  <c r="P258" i="1"/>
  <c r="P128" i="1"/>
  <c r="P256" i="1"/>
  <c r="P255" i="1"/>
  <c r="P254" i="1"/>
  <c r="P253" i="1"/>
  <c r="P252" i="1"/>
  <c r="P251" i="1"/>
  <c r="P248" i="1"/>
  <c r="P247" i="1"/>
  <c r="P246" i="1"/>
  <c r="P245" i="1"/>
  <c r="P244" i="1"/>
  <c r="P243" i="1"/>
  <c r="P242" i="1"/>
  <c r="P241" i="1"/>
  <c r="P240" i="1"/>
  <c r="P238" i="1"/>
  <c r="P237" i="1"/>
  <c r="P236" i="1"/>
  <c r="P235" i="1"/>
  <c r="P234" i="1"/>
  <c r="P233" i="1"/>
  <c r="P232" i="1"/>
  <c r="P230" i="1"/>
  <c r="P229" i="1"/>
  <c r="P228" i="1"/>
  <c r="P227" i="1"/>
  <c r="P226" i="1"/>
  <c r="P225" i="1"/>
  <c r="P224" i="1"/>
  <c r="P223" i="1"/>
  <c r="P222" i="1"/>
  <c r="P221" i="1"/>
  <c r="P218" i="1"/>
  <c r="P217" i="1"/>
  <c r="P216" i="1"/>
  <c r="P214" i="1"/>
  <c r="P213" i="1"/>
  <c r="P212" i="1"/>
  <c r="P211" i="1"/>
  <c r="P210" i="1"/>
  <c r="P208" i="1"/>
  <c r="P215" i="1"/>
  <c r="P207" i="1"/>
  <c r="P205" i="1"/>
  <c r="P204" i="1"/>
  <c r="P203" i="1"/>
  <c r="P202" i="1"/>
  <c r="P201" i="1"/>
  <c r="P200" i="1"/>
  <c r="P199" i="1"/>
  <c r="P198" i="1"/>
  <c r="P197" i="1"/>
  <c r="P196" i="1"/>
  <c r="P195" i="1"/>
  <c r="P194" i="1"/>
  <c r="P192" i="1"/>
  <c r="P191" i="1"/>
  <c r="P189" i="1"/>
  <c r="P188" i="1"/>
  <c r="P184" i="1"/>
  <c r="P183" i="1"/>
  <c r="P182" i="1"/>
  <c r="P181" i="1"/>
  <c r="P178" i="1"/>
  <c r="P177" i="1"/>
  <c r="P176" i="1"/>
  <c r="P175" i="1"/>
  <c r="P173" i="1"/>
  <c r="P172" i="1"/>
  <c r="P170" i="1"/>
  <c r="P169" i="1"/>
  <c r="P168" i="1"/>
  <c r="P167" i="1"/>
  <c r="P166" i="1"/>
  <c r="P165" i="1"/>
  <c r="P164" i="1"/>
  <c r="P163" i="1"/>
  <c r="P162" i="1"/>
  <c r="P159" i="1"/>
  <c r="P157" i="1"/>
  <c r="P155" i="1"/>
  <c r="P154" i="1"/>
  <c r="P153" i="1"/>
  <c r="P151" i="1"/>
  <c r="P150" i="1"/>
  <c r="P149" i="1"/>
  <c r="P148" i="1"/>
  <c r="P146" i="1"/>
  <c r="P145" i="1"/>
  <c r="P144" i="1"/>
  <c r="P142" i="1"/>
  <c r="P140" i="1"/>
  <c r="P139" i="1"/>
  <c r="P141" i="1"/>
  <c r="P138" i="1"/>
  <c r="P137" i="1"/>
  <c r="P136" i="1"/>
  <c r="P135" i="1"/>
  <c r="P134" i="1"/>
  <c r="P133" i="1"/>
  <c r="P131" i="1"/>
  <c r="P130" i="1"/>
  <c r="P129" i="1"/>
  <c r="P127" i="1"/>
  <c r="P126" i="1"/>
  <c r="P125" i="1"/>
  <c r="P124" i="1"/>
  <c r="P123" i="1"/>
  <c r="P122" i="1"/>
  <c r="P121" i="1"/>
  <c r="P120" i="1"/>
  <c r="P119" i="1"/>
  <c r="P118" i="1"/>
  <c r="P116" i="1"/>
  <c r="P115" i="1"/>
  <c r="P114" i="1"/>
  <c r="P113" i="1"/>
  <c r="P112" i="1"/>
  <c r="P111" i="1"/>
  <c r="P110" i="1"/>
  <c r="P109" i="1"/>
  <c r="P108" i="1"/>
  <c r="P107" i="1"/>
  <c r="P106" i="1"/>
  <c r="P105" i="1"/>
  <c r="P104" i="1"/>
  <c r="P103" i="1"/>
  <c r="P102" i="1"/>
  <c r="P100" i="1"/>
  <c r="P99" i="1"/>
  <c r="P98" i="1"/>
  <c r="P97" i="1"/>
  <c r="P96" i="1"/>
  <c r="P95" i="1"/>
  <c r="P94" i="1"/>
  <c r="P93" i="1"/>
  <c r="P92" i="1"/>
  <c r="P91" i="1"/>
  <c r="P90" i="1"/>
  <c r="P88" i="1"/>
  <c r="P87" i="1"/>
  <c r="P86" i="1"/>
  <c r="P85" i="1"/>
  <c r="P84" i="1"/>
  <c r="P83" i="1"/>
  <c r="P82" i="1"/>
  <c r="P81" i="1"/>
  <c r="P80" i="1"/>
  <c r="P78" i="1"/>
  <c r="P76" i="1"/>
  <c r="P75" i="1"/>
  <c r="P74" i="1"/>
  <c r="P73" i="1"/>
  <c r="P72" i="1"/>
  <c r="P71" i="1"/>
  <c r="P70" i="1"/>
  <c r="P58" i="1"/>
  <c r="P68" i="1"/>
  <c r="P67" i="1"/>
  <c r="P66" i="1"/>
  <c r="P65" i="1"/>
  <c r="P64" i="1"/>
  <c r="P62" i="1"/>
  <c r="P61" i="1"/>
  <c r="P60" i="1"/>
  <c r="P59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8" i="1"/>
  <c r="P37" i="1"/>
  <c r="P35" i="1"/>
  <c r="P34" i="1"/>
  <c r="P32" i="1"/>
  <c r="P31" i="1"/>
  <c r="P30" i="1"/>
  <c r="P29" i="1"/>
  <c r="P28" i="1"/>
  <c r="P27" i="1"/>
  <c r="P25" i="1"/>
  <c r="P23" i="1"/>
  <c r="P22" i="1"/>
  <c r="P21" i="1"/>
  <c r="P20" i="1"/>
  <c r="P19" i="1"/>
  <c r="P17" i="1"/>
  <c r="P16" i="1"/>
  <c r="P15" i="1"/>
  <c r="P307" i="1" l="1"/>
  <c r="P171" i="1"/>
  <c r="P89" i="1"/>
  <c r="P158" i="1"/>
</calcChain>
</file>

<file path=xl/sharedStrings.xml><?xml version="1.0" encoding="utf-8"?>
<sst xmlns="http://schemas.openxmlformats.org/spreadsheetml/2006/main" count="15940" uniqueCount="971">
  <si>
    <t xml:space="preserve"> = CA adjusted</t>
  </si>
  <si>
    <t>Last update:</t>
  </si>
  <si>
    <t>Single Stock Dividend Futures</t>
  </si>
  <si>
    <r>
      <t xml:space="preserve">Dividend overview 19 December 2016 - 15 December 2017
</t>
    </r>
    <r>
      <rPr>
        <b/>
        <sz val="10"/>
        <color rgb="FFFFC000"/>
        <rFont val="Calibri"/>
        <family val="2"/>
        <scheme val="minor"/>
      </rPr>
      <t>Note:</t>
    </r>
    <r>
      <rPr>
        <sz val="10"/>
        <color rgb="FFFFC000"/>
        <rFont val="Calibri"/>
        <family val="2"/>
        <scheme val="minor"/>
      </rPr>
      <t xml:space="preserve"> </t>
    </r>
    <r>
      <rPr>
        <sz val="10"/>
        <color theme="8" tint="0.59999389629810485"/>
        <rFont val="Calibri"/>
        <family val="2"/>
        <scheme val="minor"/>
      </rPr>
      <t>The reference period for all 'Amsterdam (US)' contracts is</t>
    </r>
    <r>
      <rPr>
        <b/>
        <sz val="10"/>
        <color theme="8" tint="0.59999389629810485"/>
        <rFont val="Calibri"/>
        <family val="2"/>
        <scheme val="minor"/>
      </rPr>
      <t xml:space="preserve"> 23 Januari 2017 - 19 Januari 2018</t>
    </r>
  </si>
  <si>
    <t>Contract name:</t>
  </si>
  <si>
    <t>Contract code:</t>
  </si>
  <si>
    <t>Location:</t>
  </si>
  <si>
    <t>Curr:</t>
  </si>
  <si>
    <t>Div1:</t>
  </si>
  <si>
    <t>Div2:</t>
  </si>
  <si>
    <t>Div3:</t>
  </si>
  <si>
    <t>Div4:</t>
  </si>
  <si>
    <t>Sum:</t>
  </si>
  <si>
    <t>A2A</t>
  </si>
  <si>
    <t>QT8</t>
  </si>
  <si>
    <t>Amsterdam</t>
  </si>
  <si>
    <t>EUR</t>
  </si>
  <si>
    <t>Aalberts Industries</t>
  </si>
  <si>
    <t>AA8</t>
  </si>
  <si>
    <t xml:space="preserve">ABB </t>
  </si>
  <si>
    <t>LD8</t>
  </si>
  <si>
    <t>CHF</t>
  </si>
  <si>
    <t>Accor SA</t>
  </si>
  <si>
    <t>AC8</t>
  </si>
  <si>
    <t>Paris</t>
  </si>
  <si>
    <t>Ackermans &amp; Van Haaren</t>
  </si>
  <si>
    <t>AV8</t>
  </si>
  <si>
    <t>Brussels</t>
  </si>
  <si>
    <t>Adecco Group AG</t>
  </si>
  <si>
    <t>JW8</t>
  </si>
  <si>
    <t xml:space="preserve">Adidas </t>
  </si>
  <si>
    <t>AD8</t>
  </si>
  <si>
    <t>Aegon</t>
  </si>
  <si>
    <t>AE8</t>
  </si>
  <si>
    <t>Ageas</t>
  </si>
  <si>
    <t>AG8</t>
  </si>
  <si>
    <t>Ahold Delhaize, Koninklijke</t>
  </si>
  <si>
    <t>AH8</t>
  </si>
  <si>
    <t>Ahold Delhaize, Koninklijke (ex event)</t>
  </si>
  <si>
    <t>DE8</t>
  </si>
  <si>
    <t>D8O</t>
  </si>
  <si>
    <t>Air Liquide</t>
  </si>
  <si>
    <t>AI8</t>
  </si>
  <si>
    <t xml:space="preserve">Airbus </t>
  </si>
  <si>
    <t>EA8</t>
  </si>
  <si>
    <t>Akzo Nobel</t>
  </si>
  <si>
    <t>AK8</t>
  </si>
  <si>
    <t xml:space="preserve">Allianz </t>
  </si>
  <si>
    <t>AZ8</t>
  </si>
  <si>
    <t>Alstom</t>
  </si>
  <si>
    <t>AL8</t>
  </si>
  <si>
    <t>Amadeus IT Group SA</t>
  </si>
  <si>
    <t>AM8</t>
  </si>
  <si>
    <t>Amazon.com</t>
  </si>
  <si>
    <t>UY8</t>
  </si>
  <si>
    <t>Amsterdam (US)</t>
  </si>
  <si>
    <t>USD</t>
  </si>
  <si>
    <t>Anglo American</t>
  </si>
  <si>
    <t>LO8</t>
  </si>
  <si>
    <t>Anheuser-Busch Inbev</t>
  </si>
  <si>
    <t>AB8</t>
  </si>
  <si>
    <t>Apple</t>
  </si>
  <si>
    <t>VM8</t>
  </si>
  <si>
    <t>ArcelorMittal</t>
  </si>
  <si>
    <t>MT8</t>
  </si>
  <si>
    <t>ASML Holding</t>
  </si>
  <si>
    <t>AS8</t>
  </si>
  <si>
    <t xml:space="preserve">Assicurazioni Generali </t>
  </si>
  <si>
    <t>GJ8</t>
  </si>
  <si>
    <t>AstraZeneca</t>
  </si>
  <si>
    <t>ZN8</t>
  </si>
  <si>
    <t>AT&amp;T</t>
  </si>
  <si>
    <t>VY8</t>
  </si>
  <si>
    <t>Atlantia</t>
  </si>
  <si>
    <t>QF8</t>
  </si>
  <si>
    <t>Aviva PLC</t>
  </si>
  <si>
    <t>AW8</t>
  </si>
  <si>
    <t>Pence</t>
  </si>
  <si>
    <t>Axa SA</t>
  </si>
  <si>
    <t>CS8</t>
  </si>
  <si>
    <t>Azimut Holding</t>
  </si>
  <si>
    <t>UT8</t>
  </si>
  <si>
    <t>BAE Systems PLC</t>
  </si>
  <si>
    <t>BX8</t>
  </si>
  <si>
    <t>Banca Mediolanum</t>
  </si>
  <si>
    <t>MV8</t>
  </si>
  <si>
    <t>Banco Bilbao Vizcaya Argenta</t>
  </si>
  <si>
    <t>BA8</t>
  </si>
  <si>
    <t>Banco BPM</t>
  </si>
  <si>
    <t>PM8</t>
  </si>
  <si>
    <t>Banco Santander</t>
  </si>
  <si>
    <t>BS8</t>
  </si>
  <si>
    <t>Bankia</t>
  </si>
  <si>
    <t>QU8</t>
  </si>
  <si>
    <t>Bankinter</t>
  </si>
  <si>
    <t>BI8</t>
  </si>
  <si>
    <t>Barclays PLC</t>
  </si>
  <si>
    <t>YS8</t>
  </si>
  <si>
    <t xml:space="preserve">BASF </t>
  </si>
  <si>
    <t>BF8</t>
  </si>
  <si>
    <t xml:space="preserve">Bayer </t>
  </si>
  <si>
    <t>BY8</t>
  </si>
  <si>
    <t>Befimmo</t>
  </si>
  <si>
    <t>QS8</t>
  </si>
  <si>
    <t>Bekaert</t>
  </si>
  <si>
    <t>BE8</t>
  </si>
  <si>
    <t>BHP Billiton</t>
  </si>
  <si>
    <t>BH8</t>
  </si>
  <si>
    <t xml:space="preserve">BMW </t>
  </si>
  <si>
    <t>BW8</t>
  </si>
  <si>
    <t>BNP Paribas</t>
  </si>
  <si>
    <t>BN8</t>
  </si>
  <si>
    <t>Bank of America Corp</t>
  </si>
  <si>
    <t>YC8</t>
  </si>
  <si>
    <t>Bollore SA</t>
  </si>
  <si>
    <t>HA8</t>
  </si>
  <si>
    <t>Bolsas y Mercados Espanoles</t>
  </si>
  <si>
    <t>MY8</t>
  </si>
  <si>
    <t>Boskalis Westminster, Koninklijke</t>
  </si>
  <si>
    <t>BO8</t>
  </si>
  <si>
    <t>Bouygues</t>
  </si>
  <si>
    <t>EN8</t>
  </si>
  <si>
    <t>BP PLC</t>
  </si>
  <si>
    <t>BP8</t>
  </si>
  <si>
    <t xml:space="preserve">BPER Banca </t>
  </si>
  <si>
    <t>PV8</t>
  </si>
  <si>
    <t>Bpost</t>
  </si>
  <si>
    <t>PJ8</t>
  </si>
  <si>
    <t>British American Tobacco PLC</t>
  </si>
  <si>
    <t>TB8</t>
  </si>
  <si>
    <t>BT Group PLC</t>
  </si>
  <si>
    <t>BT8</t>
  </si>
  <si>
    <t>CaixaBank</t>
  </si>
  <si>
    <t>CB8</t>
  </si>
  <si>
    <t>CP8</t>
  </si>
  <si>
    <t>Carrefour SA</t>
  </si>
  <si>
    <t>CA8</t>
  </si>
  <si>
    <t xml:space="preserve">Casino Guichard Perrachon </t>
  </si>
  <si>
    <t>CG8</t>
  </si>
  <si>
    <t>Centrica PLC</t>
  </si>
  <si>
    <t>CC8</t>
  </si>
  <si>
    <t>Chevron</t>
  </si>
  <si>
    <t>YF8</t>
  </si>
  <si>
    <t>Cisco Systems</t>
  </si>
  <si>
    <t>YN8</t>
  </si>
  <si>
    <t>Citigroup</t>
  </si>
  <si>
    <t>YO8</t>
  </si>
  <si>
    <t>CME Group</t>
  </si>
  <si>
    <t>VJ8</t>
  </si>
  <si>
    <t>Coca-Cola</t>
  </si>
  <si>
    <t>YR8</t>
  </si>
  <si>
    <t>Coca-Cola HBC</t>
  </si>
  <si>
    <t>CW8</t>
  </si>
  <si>
    <t>Colruyt</t>
  </si>
  <si>
    <t>CO8</t>
  </si>
  <si>
    <t>YJ8</t>
  </si>
  <si>
    <t xml:space="preserve">Compagnie Financiere Richemont </t>
  </si>
  <si>
    <t>FX8</t>
  </si>
  <si>
    <t>Compass Group PLC</t>
  </si>
  <si>
    <t>CQ8</t>
  </si>
  <si>
    <t>Conocophillips</t>
  </si>
  <si>
    <t>VL8</t>
  </si>
  <si>
    <t xml:space="preserve">Continental </t>
  </si>
  <si>
    <t>ON8</t>
  </si>
  <si>
    <t>Credit Agricole SA</t>
  </si>
  <si>
    <t>CR8</t>
  </si>
  <si>
    <t>Credit Suisse Group</t>
  </si>
  <si>
    <t>CZ8</t>
  </si>
  <si>
    <t>CRH</t>
  </si>
  <si>
    <t>CX8</t>
  </si>
  <si>
    <t xml:space="preserve">Daimler </t>
  </si>
  <si>
    <t>DM8</t>
  </si>
  <si>
    <t>Danone</t>
  </si>
  <si>
    <t>DA8</t>
  </si>
  <si>
    <t xml:space="preserve">Deutsche Bank </t>
  </si>
  <si>
    <t>DB8</t>
  </si>
  <si>
    <t xml:space="preserve">Deutsche Boerse </t>
  </si>
  <si>
    <t>BR8</t>
  </si>
  <si>
    <t xml:space="preserve">Deutsche Lufthansa </t>
  </si>
  <si>
    <t>LU8</t>
  </si>
  <si>
    <t xml:space="preserve">Deutsche Post </t>
  </si>
  <si>
    <t>DP8</t>
  </si>
  <si>
    <t xml:space="preserve">Deutsche Telekom </t>
  </si>
  <si>
    <t>TK8</t>
  </si>
  <si>
    <t>Diageo PLC</t>
  </si>
  <si>
    <t>DO8</t>
  </si>
  <si>
    <t>D'Ieteren</t>
  </si>
  <si>
    <t>IE8</t>
  </si>
  <si>
    <t>Distribuidora Internacional de Alimentacion</t>
  </si>
  <si>
    <t>DI8</t>
  </si>
  <si>
    <t>DSM, Koninklijke</t>
  </si>
  <si>
    <t>DS8</t>
  </si>
  <si>
    <t>Duke Energy</t>
  </si>
  <si>
    <t>VH8</t>
  </si>
  <si>
    <t xml:space="preserve">E.ON </t>
  </si>
  <si>
    <t>EO8</t>
  </si>
  <si>
    <t>Electricite de France</t>
  </si>
  <si>
    <t>DF8</t>
  </si>
  <si>
    <t>Electrolux B</t>
  </si>
  <si>
    <t>ET8</t>
  </si>
  <si>
    <t>SEK</t>
  </si>
  <si>
    <t>Elia System Operator</t>
  </si>
  <si>
    <t>ES8</t>
  </si>
  <si>
    <t>Elisa</t>
  </si>
  <si>
    <t>EI8</t>
  </si>
  <si>
    <t>Enagas</t>
  </si>
  <si>
    <t>EG8</t>
  </si>
  <si>
    <t>Endesa</t>
  </si>
  <si>
    <t>EE8</t>
  </si>
  <si>
    <t xml:space="preserve">ENEL </t>
  </si>
  <si>
    <t>QC8</t>
  </si>
  <si>
    <t>Engie</t>
  </si>
  <si>
    <t>GA8</t>
  </si>
  <si>
    <t xml:space="preserve">ENI </t>
  </si>
  <si>
    <t>QD8</t>
  </si>
  <si>
    <t>Ericsson B</t>
  </si>
  <si>
    <t>ER8</t>
  </si>
  <si>
    <t>Essilor International SA</t>
  </si>
  <si>
    <t>EF8</t>
  </si>
  <si>
    <t>Eutelsat Communications</t>
  </si>
  <si>
    <t>EC8</t>
  </si>
  <si>
    <t>Experian</t>
  </si>
  <si>
    <t>EP8</t>
  </si>
  <si>
    <t>Exxon Mobil</t>
  </si>
  <si>
    <t>VR8</t>
  </si>
  <si>
    <t>Ferrovial</t>
  </si>
  <si>
    <t>FV8</t>
  </si>
  <si>
    <t>Ford Motor</t>
  </si>
  <si>
    <t>VC8</t>
  </si>
  <si>
    <t>Fortum</t>
  </si>
  <si>
    <t>AQ8</t>
  </si>
  <si>
    <t>Fresenius</t>
  </si>
  <si>
    <t>FS8</t>
  </si>
  <si>
    <t>Fugro</t>
  </si>
  <si>
    <t>FU8</t>
  </si>
  <si>
    <t>Galp Energia</t>
  </si>
  <si>
    <t>GE8</t>
  </si>
  <si>
    <t>Lisbon</t>
  </si>
  <si>
    <t>Gas Natural SDG</t>
  </si>
  <si>
    <t>GN8</t>
  </si>
  <si>
    <t>General Electric Co</t>
  </si>
  <si>
    <t>VX8</t>
  </si>
  <si>
    <t xml:space="preserve">Geberit </t>
  </si>
  <si>
    <t>GQ8</t>
  </si>
  <si>
    <t>Gemalto</t>
  </si>
  <si>
    <t>GM8</t>
  </si>
  <si>
    <t>General Motors</t>
  </si>
  <si>
    <t>VB8</t>
  </si>
  <si>
    <t xml:space="preserve">Givaudan </t>
  </si>
  <si>
    <t>GV8</t>
  </si>
  <si>
    <t>GlaxoSmithKline PLC</t>
  </si>
  <si>
    <t>GO8</t>
  </si>
  <si>
    <t>Glencore</t>
  </si>
  <si>
    <t>GX8</t>
  </si>
  <si>
    <t>Groupe Bruxelles Lambert</t>
  </si>
  <si>
    <t>GB8</t>
  </si>
  <si>
    <t>Heineken</t>
  </si>
  <si>
    <t>HE8</t>
  </si>
  <si>
    <t xml:space="preserve">Henkel pref </t>
  </si>
  <si>
    <t>HK8</t>
  </si>
  <si>
    <t>Hennes &amp; Mauritz B</t>
  </si>
  <si>
    <t>HM8</t>
  </si>
  <si>
    <t>Home Depot</t>
  </si>
  <si>
    <t>YH8</t>
  </si>
  <si>
    <t>HSBC Holdings</t>
  </si>
  <si>
    <t>HS8</t>
  </si>
  <si>
    <t>Iberdrola</t>
  </si>
  <si>
    <t>ID8</t>
  </si>
  <si>
    <t>Imperial Brands PLC</t>
  </si>
  <si>
    <t>IP8</t>
  </si>
  <si>
    <t>Inditex</t>
  </si>
  <si>
    <t>IT8</t>
  </si>
  <si>
    <t>I8O</t>
  </si>
  <si>
    <t>ING Groep</t>
  </si>
  <si>
    <t>IN8</t>
  </si>
  <si>
    <t>YM8</t>
  </si>
  <si>
    <t xml:space="preserve">Intesa Sanpaolo </t>
  </si>
  <si>
    <t>IO8</t>
  </si>
  <si>
    <t>Italgas</t>
  </si>
  <si>
    <t>WG8</t>
  </si>
  <si>
    <t>Johnson &amp; Johnson</t>
  </si>
  <si>
    <t>VS8</t>
  </si>
  <si>
    <t>JPMorgan Chase</t>
  </si>
  <si>
    <t>VU8</t>
  </si>
  <si>
    <t xml:space="preserve">Julius Baer Gruppe </t>
  </si>
  <si>
    <t>JB8</t>
  </si>
  <si>
    <t xml:space="preserve">K+S </t>
  </si>
  <si>
    <t>KS8</t>
  </si>
  <si>
    <t>KBC Groep</t>
  </si>
  <si>
    <t>KB8</t>
  </si>
  <si>
    <t>Kering</t>
  </si>
  <si>
    <t>KR8</t>
  </si>
  <si>
    <t>Kesko OYJ B</t>
  </si>
  <si>
    <t>KK8</t>
  </si>
  <si>
    <t>Kinnevik B</t>
  </si>
  <si>
    <t>KV8</t>
  </si>
  <si>
    <t>KPN, Koninklijke</t>
  </si>
  <si>
    <t>KP8</t>
  </si>
  <si>
    <t xml:space="preserve">LafargeHolcim </t>
  </si>
  <si>
    <t>HX8</t>
  </si>
  <si>
    <t>Lagardere S.C.A.</t>
  </si>
  <si>
    <t>MM8</t>
  </si>
  <si>
    <t>Legal &amp; General Group PLC</t>
  </si>
  <si>
    <t>LL8</t>
  </si>
  <si>
    <t>Legrand SA</t>
  </si>
  <si>
    <t>LR8</t>
  </si>
  <si>
    <t xml:space="preserve">Linde </t>
  </si>
  <si>
    <t>LE8</t>
  </si>
  <si>
    <t>Lloyds Banking Group PLC</t>
  </si>
  <si>
    <t>LY8</t>
  </si>
  <si>
    <t>L'Oreal SA</t>
  </si>
  <si>
    <t>OR8</t>
  </si>
  <si>
    <t>LVMH Moet Hennessy Louis V</t>
  </si>
  <si>
    <t>MC8</t>
  </si>
  <si>
    <t>Mapfre</t>
  </si>
  <si>
    <t>MP8</t>
  </si>
  <si>
    <t>Mediaset</t>
  </si>
  <si>
    <t>MA8</t>
  </si>
  <si>
    <t>Mediaset Espana Comunicacion</t>
  </si>
  <si>
    <t>MW8</t>
  </si>
  <si>
    <t>Mediobanca</t>
  </si>
  <si>
    <t>MJ8</t>
  </si>
  <si>
    <t xml:space="preserve">Merck </t>
  </si>
  <si>
    <t>MK8</t>
  </si>
  <si>
    <t>Merck &amp; Co</t>
  </si>
  <si>
    <t>YL8</t>
  </si>
  <si>
    <t>ME8</t>
  </si>
  <si>
    <t xml:space="preserve">Metso OYJ </t>
  </si>
  <si>
    <t>MS8</t>
  </si>
  <si>
    <t>Michelin</t>
  </si>
  <si>
    <t>ML8</t>
  </si>
  <si>
    <t>Microsoft</t>
  </si>
  <si>
    <t>VQ8</t>
  </si>
  <si>
    <t xml:space="preserve">Muenchener Rueckversicherung </t>
  </si>
  <si>
    <t>MR8</t>
  </si>
  <si>
    <t>National Grid PLC</t>
  </si>
  <si>
    <t>NG8</t>
  </si>
  <si>
    <t>Natixis</t>
  </si>
  <si>
    <t>KN8</t>
  </si>
  <si>
    <t xml:space="preserve">Neste Oyj </t>
  </si>
  <si>
    <t>NS8</t>
  </si>
  <si>
    <t>Nestle</t>
  </si>
  <si>
    <t>NL8</t>
  </si>
  <si>
    <t>NN group</t>
  </si>
  <si>
    <t>NN8</t>
  </si>
  <si>
    <t>Nokia</t>
  </si>
  <si>
    <t>NO8</t>
  </si>
  <si>
    <t>Nordea Bank</t>
  </si>
  <si>
    <t>ND8</t>
  </si>
  <si>
    <t xml:space="preserve">Novartis </t>
  </si>
  <si>
    <t>NA8</t>
  </si>
  <si>
    <t>Old Mutual PLC</t>
  </si>
  <si>
    <t>OL8</t>
  </si>
  <si>
    <t>Orange SA</t>
  </si>
  <si>
    <t>FT8</t>
  </si>
  <si>
    <t>Procter &amp; Gamble</t>
  </si>
  <si>
    <t>YD8</t>
  </si>
  <si>
    <t>Pearson PLC</t>
  </si>
  <si>
    <t>PR8</t>
  </si>
  <si>
    <t>Pernod-Ricard</t>
  </si>
  <si>
    <t>RI8</t>
  </si>
  <si>
    <t>Peugeot</t>
  </si>
  <si>
    <t>UG8</t>
  </si>
  <si>
    <t>Pfizer</t>
  </si>
  <si>
    <t>YE8</t>
  </si>
  <si>
    <t>VD8</t>
  </si>
  <si>
    <t>Philips, Koninklijke</t>
  </si>
  <si>
    <t>PH8</t>
  </si>
  <si>
    <t>Proximus</t>
  </si>
  <si>
    <t>BL8</t>
  </si>
  <si>
    <t>Prudential PLC</t>
  </si>
  <si>
    <t>PD8</t>
  </si>
  <si>
    <t>Publicis Groupe</t>
  </si>
  <si>
    <t>PU8</t>
  </si>
  <si>
    <t>Randstad Holding</t>
  </si>
  <si>
    <t>RA8</t>
  </si>
  <si>
    <t>Reckitt Benckiser Group PLC</t>
  </si>
  <si>
    <t>RB8</t>
  </si>
  <si>
    <t>Red Electrica Corp</t>
  </si>
  <si>
    <t>EL8</t>
  </si>
  <si>
    <t>Relx</t>
  </si>
  <si>
    <t>RE8</t>
  </si>
  <si>
    <t>Relx PLC</t>
  </si>
  <si>
    <t>RL8</t>
  </si>
  <si>
    <t>Renault SA</t>
  </si>
  <si>
    <t>RN8</t>
  </si>
  <si>
    <t>Repsol</t>
  </si>
  <si>
    <t>RP8</t>
  </si>
  <si>
    <t>Rio Tinto PLC</t>
  </si>
  <si>
    <t>RV8</t>
  </si>
  <si>
    <t xml:space="preserve">Roche Holding </t>
  </si>
  <si>
    <t>RX8</t>
  </si>
  <si>
    <t>Rolls-Royce Holdings PLC</t>
  </si>
  <si>
    <t>RR8</t>
  </si>
  <si>
    <t>Royal Dutch Shell A</t>
  </si>
  <si>
    <t>RD8</t>
  </si>
  <si>
    <t xml:space="preserve">RWE </t>
  </si>
  <si>
    <t>RW8</t>
  </si>
  <si>
    <t>Safran SA</t>
  </si>
  <si>
    <t>SM8</t>
  </si>
  <si>
    <t>Saint-Gobain</t>
  </si>
  <si>
    <t>SG8</t>
  </si>
  <si>
    <t>Salvatore Ferragamo</t>
  </si>
  <si>
    <t>FJ8</t>
  </si>
  <si>
    <t>Sampo A</t>
  </si>
  <si>
    <t>AY8</t>
  </si>
  <si>
    <t>Sanofi</t>
  </si>
  <si>
    <t>SA8</t>
  </si>
  <si>
    <t xml:space="preserve">SAP </t>
  </si>
  <si>
    <t>AP8</t>
  </si>
  <si>
    <t>SBM Offshore</t>
  </si>
  <si>
    <t>SB8</t>
  </si>
  <si>
    <t>Schneider Electric SE</t>
  </si>
  <si>
    <t>SU8</t>
  </si>
  <si>
    <t>Scor SE</t>
  </si>
  <si>
    <t>SC8</t>
  </si>
  <si>
    <t>Semapa</t>
  </si>
  <si>
    <t>SP8</t>
  </si>
  <si>
    <t>Severn Trent PLC</t>
  </si>
  <si>
    <t>UV8</t>
  </si>
  <si>
    <t xml:space="preserve">SGS </t>
  </si>
  <si>
    <t>QN8</t>
  </si>
  <si>
    <t>Shire PLC</t>
  </si>
  <si>
    <t>QB8</t>
  </si>
  <si>
    <t xml:space="preserve">Siemens </t>
  </si>
  <si>
    <t>SI8</t>
  </si>
  <si>
    <t xml:space="preserve">Skandinaviska Enskilda Banken A </t>
  </si>
  <si>
    <t>EJ8</t>
  </si>
  <si>
    <t>Sky PLC</t>
  </si>
  <si>
    <t>BK8</t>
  </si>
  <si>
    <t>Snam</t>
  </si>
  <si>
    <t>WS8</t>
  </si>
  <si>
    <t>Snam ex event package (Italgas 0.2x)</t>
  </si>
  <si>
    <t>QE8</t>
  </si>
  <si>
    <t>Snam ex event package (Snam 1x)</t>
  </si>
  <si>
    <t>Societe Generale</t>
  </si>
  <si>
    <t>GL8</t>
  </si>
  <si>
    <t>Sodexo</t>
  </si>
  <si>
    <t>SW8</t>
  </si>
  <si>
    <t>Solvay</t>
  </si>
  <si>
    <t>SO8</t>
  </si>
  <si>
    <t>Solvay O-class (lotsize: 640)</t>
  </si>
  <si>
    <t>SL8</t>
  </si>
  <si>
    <t>Southern Co</t>
  </si>
  <si>
    <t>VG8</t>
  </si>
  <si>
    <t>SSE PLC</t>
  </si>
  <si>
    <t>UW8</t>
  </si>
  <si>
    <t>Standard Chartered</t>
  </si>
  <si>
    <t>SX8</t>
  </si>
  <si>
    <t>Statoil ASA</t>
  </si>
  <si>
    <t>OI8</t>
  </si>
  <si>
    <t>STMicroelectronics</t>
  </si>
  <si>
    <t>ST8</t>
  </si>
  <si>
    <t>Suez Environnement SA</t>
  </si>
  <si>
    <t>SE8</t>
  </si>
  <si>
    <t>Svenska Handelsbanken A</t>
  </si>
  <si>
    <t>VE8</t>
  </si>
  <si>
    <t>Swedbank A</t>
  </si>
  <si>
    <t>WD8</t>
  </si>
  <si>
    <t xml:space="preserve">Swedish Match </t>
  </si>
  <si>
    <t>MB8</t>
  </si>
  <si>
    <t xml:space="preserve">Swiss Re </t>
  </si>
  <si>
    <t>QO8</t>
  </si>
  <si>
    <t xml:space="preserve">Swisscom </t>
  </si>
  <si>
    <t>QK8</t>
  </si>
  <si>
    <t>TechnipFMC</t>
  </si>
  <si>
    <t>TE8</t>
  </si>
  <si>
    <t>Tele2 B</t>
  </si>
  <si>
    <t>TV8</t>
  </si>
  <si>
    <t xml:space="preserve">Telecom Italia </t>
  </si>
  <si>
    <t>TI8</t>
  </si>
  <si>
    <t>Telefonica</t>
  </si>
  <si>
    <t>TA8</t>
  </si>
  <si>
    <t>Telenor</t>
  </si>
  <si>
    <t>TQ8</t>
  </si>
  <si>
    <t>NOK</t>
  </si>
  <si>
    <t>Telia Company</t>
  </si>
  <si>
    <t>TJ8</t>
  </si>
  <si>
    <t xml:space="preserve">Terna </t>
  </si>
  <si>
    <t>TX8</t>
  </si>
  <si>
    <t>The Navigator Company</t>
  </si>
  <si>
    <t>PO8</t>
  </si>
  <si>
    <t>The Swatch Group (Bearer shares)</t>
  </si>
  <si>
    <t>UH8</t>
  </si>
  <si>
    <t xml:space="preserve">Thyssenkrupp </t>
  </si>
  <si>
    <t>TH8</t>
  </si>
  <si>
    <t>Tod's</t>
  </si>
  <si>
    <t>OS8</t>
  </si>
  <si>
    <t>Total SA</t>
  </si>
  <si>
    <t>TO8</t>
  </si>
  <si>
    <t>UBI Banca</t>
  </si>
  <si>
    <t>UF8</t>
  </si>
  <si>
    <t xml:space="preserve">UBS Group </t>
  </si>
  <si>
    <t>UO8</t>
  </si>
  <si>
    <t>UCB</t>
  </si>
  <si>
    <t>UC8</t>
  </si>
  <si>
    <t>Umicore</t>
  </si>
  <si>
    <t>UM8</t>
  </si>
  <si>
    <t>Unibail-Rodamco</t>
  </si>
  <si>
    <t>UB8</t>
  </si>
  <si>
    <t xml:space="preserve">Unicredit </t>
  </si>
  <si>
    <t>UD8</t>
  </si>
  <si>
    <t>Unicredit (lotsize: 1996)</t>
  </si>
  <si>
    <t>U8O</t>
  </si>
  <si>
    <t>Unilever</t>
  </si>
  <si>
    <t>UN8</t>
  </si>
  <si>
    <t>Unilever PLC</t>
  </si>
  <si>
    <t>UZ8</t>
  </si>
  <si>
    <t>UnipolSai</t>
  </si>
  <si>
    <t>UQ8</t>
  </si>
  <si>
    <t xml:space="preserve">United Utilities Group </t>
  </si>
  <si>
    <t>UU8</t>
  </si>
  <si>
    <t>Valeo SA</t>
  </si>
  <si>
    <t>FR8</t>
  </si>
  <si>
    <t>Vallourec SA</t>
  </si>
  <si>
    <t>VA8</t>
  </si>
  <si>
    <t>Veolia Environnement</t>
  </si>
  <si>
    <t>VI8</t>
  </si>
  <si>
    <t>Verizon Communications</t>
  </si>
  <si>
    <t>YG8</t>
  </si>
  <si>
    <t>Vinci SA</t>
  </si>
  <si>
    <t>DG8</t>
  </si>
  <si>
    <t>Visa Inc</t>
  </si>
  <si>
    <t>YP8</t>
  </si>
  <si>
    <t>Vivendi SA</t>
  </si>
  <si>
    <t>EX8</t>
  </si>
  <si>
    <t>Vodafone Group PLC</t>
  </si>
  <si>
    <t>VO8</t>
  </si>
  <si>
    <t xml:space="preserve">Volkswagen pref </t>
  </si>
  <si>
    <t>VW8</t>
  </si>
  <si>
    <t>Volvo B</t>
  </si>
  <si>
    <t>VV8</t>
  </si>
  <si>
    <t>Vonovia</t>
  </si>
  <si>
    <t>VN8</t>
  </si>
  <si>
    <t>Vopak, Koninklijke</t>
  </si>
  <si>
    <t>VP8</t>
  </si>
  <si>
    <t>Walt Disney</t>
  </si>
  <si>
    <t>YQ8</t>
  </si>
  <si>
    <t>Wells Fargo</t>
  </si>
  <si>
    <t>VZ8</t>
  </si>
  <si>
    <t>WM Morrison Supermarkets PLC</t>
  </si>
  <si>
    <t>WM8</t>
  </si>
  <si>
    <t>Wolters Kluwer</t>
  </si>
  <si>
    <t>WK8</t>
  </si>
  <si>
    <t>WPP PLC</t>
  </si>
  <si>
    <t>WP8</t>
  </si>
  <si>
    <t>Zodiac Aerospace</t>
  </si>
  <si>
    <t>ZA8</t>
  </si>
  <si>
    <t xml:space="preserve">Zurich Insurance Group </t>
  </si>
  <si>
    <t>ZI8</t>
  </si>
  <si>
    <t>Comcast Corp-Class A</t>
  </si>
  <si>
    <t>Pepsico</t>
  </si>
  <si>
    <t>UnitedHealth</t>
  </si>
  <si>
    <t>IBM</t>
  </si>
  <si>
    <t>Altria Group</t>
  </si>
  <si>
    <t>Oracle</t>
  </si>
  <si>
    <t>Amgen</t>
  </si>
  <si>
    <t>3M</t>
  </si>
  <si>
    <t>Medtronic</t>
  </si>
  <si>
    <t>Schlumberger</t>
  </si>
  <si>
    <t>Wal-Mart Stores</t>
  </si>
  <si>
    <t>McDonalds</t>
  </si>
  <si>
    <t>Mastercard - A</t>
  </si>
  <si>
    <t>AbbVie</t>
  </si>
  <si>
    <t>Boeing</t>
  </si>
  <si>
    <t>Honeywell International</t>
  </si>
  <si>
    <t>Bristol-Myers Squibb</t>
  </si>
  <si>
    <t>Gilead Sciences</t>
  </si>
  <si>
    <t>Broadcom</t>
  </si>
  <si>
    <t>Union Pacific</t>
  </si>
  <si>
    <t>Goldman Sachs Group</t>
  </si>
  <si>
    <t>Starbucks</t>
  </si>
  <si>
    <t>Qualcomm</t>
  </si>
  <si>
    <t>United Technologies</t>
  </si>
  <si>
    <t>US Bancorp</t>
  </si>
  <si>
    <t>Eli Lilly &amp; Co</t>
  </si>
  <si>
    <t>Texas Instruments</t>
  </si>
  <si>
    <t>CVS Health</t>
  </si>
  <si>
    <t>YT8</t>
  </si>
  <si>
    <t>YU8</t>
  </si>
  <si>
    <t>YV8</t>
  </si>
  <si>
    <t>YW8</t>
  </si>
  <si>
    <t>YX8</t>
  </si>
  <si>
    <t>YY8</t>
  </si>
  <si>
    <t>ZB8</t>
  </si>
  <si>
    <t>ZC8</t>
  </si>
  <si>
    <t>ZD8</t>
  </si>
  <si>
    <t>ZE8</t>
  </si>
  <si>
    <t>ZF8</t>
  </si>
  <si>
    <t>ZG8</t>
  </si>
  <si>
    <t>ZH8</t>
  </si>
  <si>
    <t>ZJ8</t>
  </si>
  <si>
    <t>ZK8</t>
  </si>
  <si>
    <t>ZL8</t>
  </si>
  <si>
    <t>ZM8</t>
  </si>
  <si>
    <t>ZQ8</t>
  </si>
  <si>
    <t>ZR8</t>
  </si>
  <si>
    <t>ZS8</t>
  </si>
  <si>
    <t>ZT8</t>
  </si>
  <si>
    <t>ZU8</t>
  </si>
  <si>
    <t>ZV8</t>
  </si>
  <si>
    <t>ZW8</t>
  </si>
  <si>
    <t>ZX8</t>
  </si>
  <si>
    <t>ZY8</t>
  </si>
  <si>
    <t>ZZ8</t>
  </si>
  <si>
    <t>Div5:</t>
  </si>
  <si>
    <t>Philip Morris International Inc</t>
  </si>
  <si>
    <t>A8O</t>
  </si>
  <si>
    <t>Capgemini</t>
  </si>
  <si>
    <t>B8O</t>
  </si>
  <si>
    <t>Ceconomy</t>
  </si>
  <si>
    <t>No Dec17</t>
  </si>
  <si>
    <t>Intel Corp</t>
  </si>
  <si>
    <t>I8X</t>
  </si>
  <si>
    <t>Inditex (ex-event)</t>
  </si>
  <si>
    <t>15-11.17</t>
  </si>
  <si>
    <t>K8O</t>
  </si>
  <si>
    <t>Akzo Nobel OLD (size 557)</t>
  </si>
  <si>
    <r>
      <t xml:space="preserve">Dividend overview 18 December 2017 - 21 December 2018
</t>
    </r>
    <r>
      <rPr>
        <b/>
        <sz val="10"/>
        <color rgb="FFFFC000"/>
        <rFont val="Calibri"/>
        <family val="2"/>
        <scheme val="minor"/>
      </rPr>
      <t>Note:</t>
    </r>
    <r>
      <rPr>
        <sz val="10"/>
        <color rgb="FFFFC000"/>
        <rFont val="Calibri"/>
        <family val="2"/>
        <scheme val="minor"/>
      </rPr>
      <t xml:space="preserve"> </t>
    </r>
    <r>
      <rPr>
        <sz val="10"/>
        <color theme="8" tint="0.59999389629810485"/>
        <rFont val="Calibri"/>
        <family val="2"/>
        <scheme val="minor"/>
      </rPr>
      <t>The reference period for all 'Amsterdam (US)' contracts is</t>
    </r>
    <r>
      <rPr>
        <b/>
        <sz val="10"/>
        <color theme="8" tint="0.59999389629810485"/>
        <rFont val="Calibri"/>
        <family val="2"/>
        <scheme val="minor"/>
      </rPr>
      <t xml:space="preserve"> 22 Januari 2018 - 18 Januari 2019</t>
    </r>
  </si>
  <si>
    <t>Inditex (o-class)</t>
  </si>
  <si>
    <t>Randstad NV</t>
  </si>
  <si>
    <t>Equinor</t>
  </si>
  <si>
    <t>Unibail-Rodamco-Westfield</t>
  </si>
  <si>
    <t>Naturgy Energy Group SA</t>
  </si>
  <si>
    <t xml:space="preserve"> </t>
  </si>
  <si>
    <t>YK8</t>
  </si>
  <si>
    <t>Hermes International</t>
  </si>
  <si>
    <t>HI8</t>
  </si>
  <si>
    <t>Fiat Chrysler Automobiles</t>
  </si>
  <si>
    <t>FK8</t>
  </si>
  <si>
    <t>Aena SME</t>
  </si>
  <si>
    <t>Walmart Inc.</t>
  </si>
  <si>
    <t>EssilorLuxottica</t>
  </si>
  <si>
    <t>15/0/2018</t>
  </si>
  <si>
    <t>Linde Plc</t>
  </si>
  <si>
    <t>L8O</t>
  </si>
  <si>
    <t>Amdterdam</t>
  </si>
  <si>
    <t>Linde Plc (o-class)</t>
  </si>
  <si>
    <t>BHP Group</t>
  </si>
  <si>
    <r>
      <t xml:space="preserve">Dividend overview 24 December 2018 - 20 December 2019
</t>
    </r>
    <r>
      <rPr>
        <b/>
        <sz val="10"/>
        <color rgb="FFFFC000"/>
        <rFont val="Calibri"/>
        <family val="2"/>
        <scheme val="minor"/>
      </rPr>
      <t>Note:</t>
    </r>
    <r>
      <rPr>
        <sz val="10"/>
        <color rgb="FFFFC000"/>
        <rFont val="Calibri"/>
        <family val="2"/>
        <scheme val="minor"/>
      </rPr>
      <t xml:space="preserve"> </t>
    </r>
    <r>
      <rPr>
        <sz val="10"/>
        <color theme="8" tint="0.59999389629810485"/>
        <rFont val="Calibri"/>
        <family val="2"/>
        <scheme val="minor"/>
      </rPr>
      <t>The reference period for all 'Amsterdam (US)' contracts is</t>
    </r>
    <r>
      <rPr>
        <b/>
        <sz val="10"/>
        <color theme="8" tint="0.59999389629810485"/>
        <rFont val="Calibri"/>
        <family val="2"/>
        <scheme val="minor"/>
      </rPr>
      <t xml:space="preserve"> 21 Januari 2019 - 17 Januari 2020</t>
    </r>
  </si>
  <si>
    <t>I8Y</t>
  </si>
  <si>
    <t>Dividend overview 20 December 2014 - 18 December 2015</t>
  </si>
  <si>
    <t xml:space="preserve">Actelion </t>
  </si>
  <si>
    <t>QP8</t>
  </si>
  <si>
    <t xml:space="preserve">Adecco </t>
  </si>
  <si>
    <t>Ahold, Koninklijke</t>
  </si>
  <si>
    <t>Airbus Group</t>
  </si>
  <si>
    <t>Amadeus IT Holding</t>
  </si>
  <si>
    <t>ARM Holdings PLC</t>
  </si>
  <si>
    <t>RM8</t>
  </si>
  <si>
    <t>Banca Popolare dell'Emilia Romagna</t>
  </si>
  <si>
    <t>Banca Popolare di Milano</t>
  </si>
  <si>
    <t>Banco Popolare</t>
  </si>
  <si>
    <t>PB8</t>
  </si>
  <si>
    <t>Banco Popular Espanol</t>
  </si>
  <si>
    <t>PE8</t>
  </si>
  <si>
    <t>Cap Gemini SA</t>
  </si>
  <si>
    <t>Delhaize Group</t>
  </si>
  <si>
    <t>Delta Lloyd</t>
  </si>
  <si>
    <t>DL8</t>
  </si>
  <si>
    <t>No Dec15</t>
  </si>
  <si>
    <t>maturity</t>
  </si>
  <si>
    <t>Imperial Tobacco Group PLC</t>
  </si>
  <si>
    <t>Mediolanum</t>
  </si>
  <si>
    <t>Portucel</t>
  </si>
  <si>
    <t>SABMiller</t>
  </si>
  <si>
    <t>MI8</t>
  </si>
  <si>
    <t>Technip SA</t>
  </si>
  <si>
    <t>TNT Express</t>
  </si>
  <si>
    <t>TN8</t>
  </si>
  <si>
    <t>Transocean</t>
  </si>
  <si>
    <t>OA8</t>
  </si>
  <si>
    <t>Dividend overview 21 December 2015 - 16 December 2016</t>
  </si>
  <si>
    <t>ArcelorMittal (size 2896)</t>
  </si>
  <si>
    <t>M8O</t>
  </si>
  <si>
    <t>Banco Popolare (ex event)</t>
  </si>
  <si>
    <t>P8O</t>
  </si>
  <si>
    <t>No Dec16</t>
  </si>
  <si>
    <t>Inditex (ex event)</t>
  </si>
  <si>
    <t>Metro</t>
  </si>
  <si>
    <t>Satoil ASA</t>
  </si>
  <si>
    <t>Raiffeisen Bank International AG</t>
  </si>
  <si>
    <t>RQ8</t>
  </si>
  <si>
    <t>Honeywell</t>
  </si>
  <si>
    <t>Aalberts N.V.</t>
  </si>
  <si>
    <t>F8O</t>
  </si>
  <si>
    <t>Fiat Chrysler Automobiles (o-class)</t>
  </si>
  <si>
    <t>0/06/2019</t>
  </si>
  <si>
    <t>Klepierre</t>
  </si>
  <si>
    <t>LI8</t>
  </si>
  <si>
    <t>T8O</t>
  </si>
  <si>
    <t>Tele2 B (o-class)</t>
  </si>
  <si>
    <t>Uniqa Insurance Group AG</t>
  </si>
  <si>
    <t>UA8</t>
  </si>
  <si>
    <t>Atos SE</t>
  </si>
  <si>
    <t>AT8</t>
  </si>
  <si>
    <t>Novartis</t>
  </si>
  <si>
    <t>Raytheon Technologies Corporation</t>
  </si>
  <si>
    <t>Regular</t>
  </si>
  <si>
    <t>US</t>
  </si>
  <si>
    <t>Q1</t>
  </si>
  <si>
    <t>H1</t>
  </si>
  <si>
    <t>Q3</t>
  </si>
  <si>
    <t>FY</t>
  </si>
  <si>
    <t>Start</t>
  </si>
  <si>
    <t>Sum FY</t>
  </si>
  <si>
    <t>Sum Exp. Q1</t>
  </si>
  <si>
    <t>Sum Exp. H1</t>
  </si>
  <si>
    <t>Sum Exp. Q3</t>
  </si>
  <si>
    <t>Total SE</t>
  </si>
  <si>
    <t>Neles</t>
  </si>
  <si>
    <t>Neles old</t>
  </si>
  <si>
    <t>EM8</t>
  </si>
  <si>
    <t>Europcar</t>
  </si>
  <si>
    <t>Pars</t>
  </si>
  <si>
    <t>ABN AMRO</t>
  </si>
  <si>
    <t>DZ8</t>
  </si>
  <si>
    <t>Elior</t>
  </si>
  <si>
    <t>EH8</t>
  </si>
  <si>
    <t>Ferrari</t>
  </si>
  <si>
    <t>FE8</t>
  </si>
  <si>
    <t>PK8</t>
  </si>
  <si>
    <t>Siemens ex event package (Siemens AG 1x)</t>
  </si>
  <si>
    <t>Siemens ex event package (Siemens Energy 0.5x)</t>
  </si>
  <si>
    <t>T8X</t>
  </si>
  <si>
    <t>CNP Assurances SA</t>
  </si>
  <si>
    <t>CN8</t>
  </si>
  <si>
    <t>Vicat SA</t>
  </si>
  <si>
    <t>IZ8</t>
  </si>
  <si>
    <t>N8O</t>
  </si>
  <si>
    <t>Neste Oyj (o class)</t>
  </si>
  <si>
    <r>
      <t xml:space="preserve">Dividend overview 20 December 2019 - 18 December 2020, 20 December 2019 - 19 June 2020 and 20 December 2019 - 20 March 2020
</t>
    </r>
    <r>
      <rPr>
        <b/>
        <sz val="12"/>
        <color rgb="FFFFC000"/>
        <rFont val="Calibri"/>
        <family val="2"/>
        <scheme val="minor"/>
      </rPr>
      <t>Note:</t>
    </r>
    <r>
      <rPr>
        <sz val="12"/>
        <color rgb="FFFFC000"/>
        <rFont val="Calibri"/>
        <family val="2"/>
        <scheme val="minor"/>
      </rPr>
      <t xml:space="preserve"> </t>
    </r>
    <r>
      <rPr>
        <sz val="12"/>
        <color theme="8" tint="0.59999389629810485"/>
        <rFont val="Calibri"/>
        <family val="2"/>
        <scheme val="minor"/>
      </rPr>
      <t>The reference period for all 'Amsterdam (US)' contracts is</t>
    </r>
    <r>
      <rPr>
        <b/>
        <sz val="12"/>
        <color theme="8" tint="0.59999389629810485"/>
        <rFont val="Calibri"/>
        <family val="2"/>
        <scheme val="minor"/>
      </rPr>
      <t xml:space="preserve"> 20 Januari 2020 - 15 Januari 2021</t>
    </r>
  </si>
  <si>
    <t>F8Z</t>
  </si>
  <si>
    <t>Stellantis</t>
  </si>
  <si>
    <t>OMV AG</t>
  </si>
  <si>
    <t>OM8</t>
  </si>
  <si>
    <t>Poste Italiane</t>
  </si>
  <si>
    <t>PT8</t>
  </si>
  <si>
    <t>Siemens AG</t>
  </si>
  <si>
    <t>Siemens Energy AG</t>
  </si>
  <si>
    <t>MH8</t>
  </si>
  <si>
    <t>MN8</t>
  </si>
  <si>
    <t>Vienna Insurance</t>
  </si>
  <si>
    <t>II8</t>
  </si>
  <si>
    <t>Wienerberger</t>
  </si>
  <si>
    <t>WB8</t>
  </si>
  <si>
    <t>F8Y</t>
  </si>
  <si>
    <t>EDP Energias de Portugal</t>
  </si>
  <si>
    <t>EV8</t>
  </si>
  <si>
    <t xml:space="preserve">Leonardo SpA </t>
  </si>
  <si>
    <t>FC8</t>
  </si>
  <si>
    <t>Jeronimo Martins SGPS</t>
  </si>
  <si>
    <t>JM8</t>
  </si>
  <si>
    <t>Norsk Hydro</t>
  </si>
  <si>
    <t>NH8</t>
  </si>
  <si>
    <t>Oslo</t>
  </si>
  <si>
    <t xml:space="preserve">Nokian Renkaat </t>
  </si>
  <si>
    <t>NR8</t>
  </si>
  <si>
    <t>ProSieben Sat 1 Media</t>
  </si>
  <si>
    <t>PS8</t>
  </si>
  <si>
    <t>TP8</t>
  </si>
  <si>
    <t>GBX</t>
  </si>
  <si>
    <t>Stellantis (o-class) 1335</t>
  </si>
  <si>
    <t>Stellantis (o-class) 624</t>
  </si>
  <si>
    <t>Stellantis (o-class) 214</t>
  </si>
  <si>
    <t>F8X</t>
  </si>
  <si>
    <t>Stellantis (o-class) 1562</t>
  </si>
  <si>
    <t>Dec21 Delisted</t>
  </si>
  <si>
    <t xml:space="preserve">Holcim </t>
  </si>
  <si>
    <t>Yara International</t>
  </si>
  <si>
    <t>YA8</t>
  </si>
  <si>
    <t>Signify</t>
  </si>
  <si>
    <t>NY8</t>
  </si>
  <si>
    <t>Nexans</t>
  </si>
  <si>
    <t>NC8</t>
  </si>
  <si>
    <t>Jan22 Delisted</t>
  </si>
  <si>
    <t>TotalEnergies SE</t>
  </si>
  <si>
    <t>BE Semiconductor Industries</t>
  </si>
  <si>
    <t>WQ8</t>
  </si>
  <si>
    <t>Mowi</t>
  </si>
  <si>
    <t>MO8</t>
  </si>
  <si>
    <t>D'Ieteren Group</t>
  </si>
  <si>
    <t xml:space="preserve">ASR Nederland </t>
  </si>
  <si>
    <t>RJ8</t>
  </si>
  <si>
    <t>Telenet Group Holding</t>
  </si>
  <si>
    <t>TL8</t>
  </si>
  <si>
    <t>Vivendi</t>
  </si>
  <si>
    <t>EDP Renovaveis</t>
  </si>
  <si>
    <t>XA8</t>
  </si>
  <si>
    <t>Continental ex-event package (Continental AG 1x)</t>
  </si>
  <si>
    <t>Continental ex-event package (VT Group AG 0.2x)</t>
  </si>
  <si>
    <t>Vivendi ex-event package (1x Vivendi)</t>
  </si>
  <si>
    <t>Vivendi ex-event package (1x UMG)</t>
  </si>
  <si>
    <t>NM8</t>
  </si>
  <si>
    <t>Universal Music Group</t>
  </si>
  <si>
    <t>UE8</t>
  </si>
  <si>
    <t>Frontline</t>
  </si>
  <si>
    <t>FD8</t>
  </si>
  <si>
    <t>MFE-MediaForEurope</t>
  </si>
  <si>
    <t>Daimler ex-event package (Daimler AG 1x)</t>
  </si>
  <si>
    <t>Daimler ex-event package (Daimler Truck 0.5x)</t>
  </si>
  <si>
    <t>FinecoBank Banca Fineco SpA</t>
  </si>
  <si>
    <t>FB8</t>
  </si>
  <si>
    <r>
      <t xml:space="preserve">Dividend overview 21 December 2020 - 17 December 2021, 21 December 2020 - 18 June 2021 and 21 December 2020 - 19 March 2021
</t>
    </r>
    <r>
      <rPr>
        <b/>
        <sz val="12"/>
        <color rgb="FFFFC000"/>
        <rFont val="Calibri"/>
        <family val="2"/>
        <scheme val="minor"/>
      </rPr>
      <t>Note:</t>
    </r>
    <r>
      <rPr>
        <sz val="12"/>
        <color rgb="FFFFC000"/>
        <rFont val="Calibri"/>
        <family val="2"/>
        <scheme val="minor"/>
      </rPr>
      <t xml:space="preserve"> </t>
    </r>
    <r>
      <rPr>
        <sz val="12"/>
        <color theme="8" tint="0.59999389629810485"/>
        <rFont val="Calibri"/>
        <family val="2"/>
        <scheme val="minor"/>
      </rPr>
      <t>The reference period for all 'Amsterdam (US)' contracts is</t>
    </r>
    <r>
      <rPr>
        <b/>
        <sz val="12"/>
        <color theme="8" tint="0.59999389629810485"/>
        <rFont val="Calibri"/>
        <family val="2"/>
        <scheme val="minor"/>
      </rPr>
      <t xml:space="preserve"> 18 Januari 2021 - 21 Januari 2022</t>
    </r>
  </si>
  <si>
    <t>BAWAG Group</t>
  </si>
  <si>
    <t>BU8</t>
  </si>
  <si>
    <t>Cofinimmo</t>
  </si>
  <si>
    <t>CU8</t>
  </si>
  <si>
    <t>Eurofins Scientific Group</t>
  </si>
  <si>
    <t>EZ8</t>
  </si>
  <si>
    <t>Flow Traders</t>
  </si>
  <si>
    <t>FY8</t>
  </si>
  <si>
    <t>Bank of Ireland Group PLC</t>
  </si>
  <si>
    <t>IB8</t>
  </si>
  <si>
    <t>Banco de Sabadell SA</t>
  </si>
  <si>
    <t>WW8</t>
  </si>
  <si>
    <t>Erste Group Bank AG</t>
  </si>
  <si>
    <t>EK8</t>
  </si>
  <si>
    <r>
      <t xml:space="preserve">Dividend overview 20 December 2021 - 16 December 2022, 20 December 2021 - 17 June 2022 and 20 December 2021 - 18 March 2022
</t>
    </r>
    <r>
      <rPr>
        <b/>
        <sz val="12"/>
        <color rgb="FFFFC000"/>
        <rFont val="Calibri"/>
        <family val="2"/>
        <scheme val="minor"/>
      </rPr>
      <t>Note:</t>
    </r>
    <r>
      <rPr>
        <sz val="12"/>
        <color rgb="FFFFC000"/>
        <rFont val="Calibri"/>
        <family val="2"/>
        <scheme val="minor"/>
      </rPr>
      <t xml:space="preserve"> </t>
    </r>
    <r>
      <rPr>
        <sz val="12"/>
        <color theme="8" tint="0.59999389629810485"/>
        <rFont val="Calibri"/>
        <family val="2"/>
        <scheme val="minor"/>
      </rPr>
      <t>The reference period for all 'Amsterdam (US)' contracts is</t>
    </r>
    <r>
      <rPr>
        <b/>
        <sz val="12"/>
        <color theme="8" tint="0.59999389629810485"/>
        <rFont val="Calibri"/>
        <family val="2"/>
        <scheme val="minor"/>
      </rPr>
      <t xml:space="preserve"> 21 January 2022 - 20 January 2023</t>
    </r>
  </si>
  <si>
    <t>DU8</t>
  </si>
  <si>
    <t>Daimler Truck Holding</t>
  </si>
  <si>
    <t>DY8</t>
  </si>
  <si>
    <t>Shell</t>
  </si>
  <si>
    <t>Mercedes-Benz Group</t>
  </si>
  <si>
    <t>GT8</t>
  </si>
  <si>
    <t>Getinge B</t>
  </si>
  <si>
    <t>Atlas Copco A</t>
  </si>
  <si>
    <t>PC8</t>
  </si>
  <si>
    <t>Alfa Laval</t>
  </si>
  <si>
    <t>LA8</t>
  </si>
  <si>
    <t>Assa Abloy B</t>
  </si>
  <si>
    <t>OY8</t>
  </si>
  <si>
    <t>Boliden</t>
  </si>
  <si>
    <t>DD8</t>
  </si>
  <si>
    <t>Hexagon B</t>
  </si>
  <si>
    <t>HG8</t>
  </si>
  <si>
    <t>Investor B</t>
  </si>
  <si>
    <t>IV8</t>
  </si>
  <si>
    <t>Skanska B</t>
  </si>
  <si>
    <t>KA8</t>
  </si>
  <si>
    <t>Sandvik</t>
  </si>
  <si>
    <t>NK8</t>
  </si>
  <si>
    <t>SKF B</t>
  </si>
  <si>
    <t>FA8</t>
  </si>
  <si>
    <t>Autoliv Inc</t>
  </si>
  <si>
    <t>KM8</t>
  </si>
  <si>
    <t>KW8</t>
  </si>
  <si>
    <t>EY8</t>
  </si>
  <si>
    <t>IR8</t>
  </si>
  <si>
    <t>SEk</t>
  </si>
  <si>
    <t>Sinch AB</t>
  </si>
  <si>
    <t>Evolution AB</t>
  </si>
  <si>
    <t>Essity AB</t>
  </si>
  <si>
    <t>Svenska Cellulosa</t>
  </si>
  <si>
    <t>SV8</t>
  </si>
  <si>
    <t>Sanofi ex-event package (1x Sanofi)</t>
  </si>
  <si>
    <t>Sanofi ex-event package (0.043478 Euroapi)</t>
  </si>
  <si>
    <t xml:space="preserve">Dassault Systemes </t>
  </si>
  <si>
    <t>DT8</t>
  </si>
  <si>
    <t xml:space="preserve">Vilmorin &amp; Cie </t>
  </si>
  <si>
    <t>BJ8</t>
  </si>
  <si>
    <t>Kone OYJ</t>
  </si>
  <si>
    <t>KO8</t>
  </si>
  <si>
    <t xml:space="preserve">ACS Actividades Cons y Serv </t>
  </si>
  <si>
    <t>SR8</t>
  </si>
  <si>
    <t xml:space="preserve">Beiersdorf AG </t>
  </si>
  <si>
    <t>BD8</t>
  </si>
  <si>
    <t>Fresenius Medical Care AG</t>
  </si>
  <si>
    <t>FM8</t>
  </si>
  <si>
    <t>HeidelbergCement AG</t>
  </si>
  <si>
    <t>HC8</t>
  </si>
  <si>
    <t>Infineon Technologies AG</t>
  </si>
  <si>
    <t>NT8</t>
  </si>
  <si>
    <t>Euronext</t>
  </si>
  <si>
    <t>PZ8</t>
  </si>
  <si>
    <t>LT8</t>
  </si>
  <si>
    <t>Lonza Group</t>
  </si>
  <si>
    <t>Logitech International</t>
  </si>
  <si>
    <t>LZ8</t>
  </si>
  <si>
    <t>Sika</t>
  </si>
  <si>
    <t>IK8</t>
  </si>
  <si>
    <t>Partners Group Holding AG</t>
  </si>
  <si>
    <t>PP8</t>
  </si>
  <si>
    <t>GSK</t>
  </si>
  <si>
    <t>Elia Group</t>
  </si>
  <si>
    <t>Munich RE</t>
  </si>
  <si>
    <t>Andritz</t>
  </si>
  <si>
    <t>QH8</t>
  </si>
  <si>
    <t>Securitas B</t>
  </si>
  <si>
    <t>UR8</t>
  </si>
  <si>
    <t>PostNL</t>
  </si>
  <si>
    <t>PN8</t>
  </si>
  <si>
    <t>Thales</t>
  </si>
  <si>
    <t>HO8</t>
  </si>
  <si>
    <t>Derichebourg</t>
  </si>
  <si>
    <t>DR8</t>
  </si>
  <si>
    <t>AMG NV</t>
  </si>
  <si>
    <t>AO8</t>
  </si>
  <si>
    <t>Aurubis</t>
  </si>
  <si>
    <t>AU8</t>
  </si>
  <si>
    <t>Baloise Holding</t>
  </si>
  <si>
    <t>BZ8</t>
  </si>
  <si>
    <t>Brenntag</t>
  </si>
  <si>
    <t>BQ8</t>
  </si>
  <si>
    <t>Trelleborg</t>
  </si>
  <si>
    <t>TZ8</t>
  </si>
  <si>
    <t>Exor</t>
  </si>
  <si>
    <t>XR8</t>
  </si>
  <si>
    <t>Valmet</t>
  </si>
  <si>
    <r>
      <t xml:space="preserve">Dividend overview for 19 December 2022 - 15 December 2023, 19 December 2022 - 16 June 2023, 19 December 2022 - 17 March 2023                 and 19 December 2022 - 15 September 2023
</t>
    </r>
    <r>
      <rPr>
        <b/>
        <sz val="12"/>
        <color rgb="FFFFC000"/>
        <rFont val="Calibri"/>
        <family val="2"/>
        <scheme val="minor"/>
      </rPr>
      <t>Note:</t>
    </r>
    <r>
      <rPr>
        <sz val="12"/>
        <color rgb="FFFFC000"/>
        <rFont val="Calibri"/>
        <family val="2"/>
        <scheme val="minor"/>
      </rPr>
      <t xml:space="preserve"> </t>
    </r>
    <r>
      <rPr>
        <sz val="12"/>
        <color theme="8" tint="0.59999389629810485"/>
        <rFont val="Calibri"/>
        <family val="2"/>
        <scheme val="minor"/>
      </rPr>
      <t>The reference period for all 'Amsterdam (US)' contracts is</t>
    </r>
    <r>
      <rPr>
        <b/>
        <sz val="12"/>
        <color theme="8" tint="0.59999389629810485"/>
        <rFont val="Calibri"/>
        <family val="2"/>
        <scheme val="minor"/>
      </rPr>
      <t xml:space="preserve"> 23 January 2023 - 19 January 2024</t>
    </r>
  </si>
  <si>
    <t>MX8</t>
  </si>
  <si>
    <t>DKK</t>
  </si>
  <si>
    <t>AP Moller - Maersk</t>
  </si>
  <si>
    <t>DNB Bank</t>
  </si>
  <si>
    <t>DN8</t>
  </si>
  <si>
    <t>Gjensidige Forsikring</t>
  </si>
  <si>
    <t>GI8</t>
  </si>
  <si>
    <t>OU8</t>
  </si>
  <si>
    <t>Orkla</t>
  </si>
  <si>
    <t>Salmar</t>
  </si>
  <si>
    <t>S28</t>
  </si>
  <si>
    <t>Schibsted</t>
  </si>
  <si>
    <t>SD8</t>
  </si>
  <si>
    <t>Storebrand</t>
  </si>
  <si>
    <t>BC8</t>
  </si>
  <si>
    <t>Var Energi</t>
  </si>
  <si>
    <t>V18</t>
  </si>
  <si>
    <t>Volvo Car</t>
  </si>
  <si>
    <t>V28</t>
  </si>
  <si>
    <t>DSM-Firmenich</t>
  </si>
  <si>
    <t>Aker BP</t>
  </si>
  <si>
    <t>AJ8</t>
  </si>
  <si>
    <t>TGS</t>
  </si>
  <si>
    <t>TG8</t>
  </si>
  <si>
    <t>Metso</t>
  </si>
  <si>
    <t>Heidelberg Materials AG</t>
  </si>
  <si>
    <t>REDEIA Corp</t>
  </si>
  <si>
    <t>RTX Corporation</t>
  </si>
  <si>
    <t>Deutsche Post</t>
  </si>
  <si>
    <r>
      <t xml:space="preserve">Dividend overview for 18 December 2023 - 20 December 2024, 18 December 2023 - 21 June 2024, 18 December 2023 - 15 March 2024                 and 18 December 2023 - 20 September 2024
</t>
    </r>
    <r>
      <rPr>
        <b/>
        <sz val="12"/>
        <color rgb="FFFFC000"/>
        <rFont val="Calibri"/>
        <family val="2"/>
        <scheme val="minor"/>
      </rPr>
      <t>Note:</t>
    </r>
    <r>
      <rPr>
        <sz val="12"/>
        <color rgb="FFFFC000"/>
        <rFont val="Calibri"/>
        <family val="2"/>
        <scheme val="minor"/>
      </rPr>
      <t xml:space="preserve"> </t>
    </r>
    <r>
      <rPr>
        <sz val="12"/>
        <color theme="8" tint="0.59999389629810485"/>
        <rFont val="Calibri"/>
        <family val="2"/>
        <scheme val="minor"/>
      </rPr>
      <t>The reference period for all 'Amsterdam (US)' contracts is</t>
    </r>
    <r>
      <rPr>
        <b/>
        <sz val="12"/>
        <color theme="8" tint="0.59999389629810485"/>
        <rFont val="Calibri"/>
        <family val="2"/>
        <scheme val="minor"/>
      </rPr>
      <t xml:space="preserve"> 22 January 2024 - 17 January 2025</t>
    </r>
  </si>
  <si>
    <t>BPM8</t>
  </si>
  <si>
    <t>Milan</t>
  </si>
  <si>
    <t>Enel</t>
  </si>
  <si>
    <t>ENE8</t>
  </si>
  <si>
    <t>Eni</t>
  </si>
  <si>
    <t>ENI8</t>
  </si>
  <si>
    <t>Generali</t>
  </si>
  <si>
    <t>G8</t>
  </si>
  <si>
    <t>Intesa Sanpaolo</t>
  </si>
  <si>
    <t>ISP8</t>
  </si>
  <si>
    <t>RAC8</t>
  </si>
  <si>
    <t>Poste Itliane</t>
  </si>
  <si>
    <t>PST8</t>
  </si>
  <si>
    <t>SRG8</t>
  </si>
  <si>
    <t>STL8</t>
  </si>
  <si>
    <t>Telecom Italia</t>
  </si>
  <si>
    <t>TIT8</t>
  </si>
  <si>
    <t>Terna</t>
  </si>
  <si>
    <t>TRN8</t>
  </si>
  <si>
    <t>UniCredit</t>
  </si>
  <si>
    <t>UCG8</t>
  </si>
  <si>
    <t>GE Aerospace</t>
  </si>
  <si>
    <r>
      <t xml:space="preserve">Dividend overview for 23 December 2024 - 19 December 2025, 23 December 2024 - 20 June 2025, 23 December 2024 - 21 March 2025                           and 23 December 2024 - 19 September 2025
</t>
    </r>
    <r>
      <rPr>
        <b/>
        <sz val="12"/>
        <color rgb="FFFFC000"/>
        <rFont val="Calibri"/>
        <family val="2"/>
        <scheme val="minor"/>
      </rPr>
      <t>Note:</t>
    </r>
    <r>
      <rPr>
        <sz val="12"/>
        <color rgb="FFFFC000"/>
        <rFont val="Calibri"/>
        <family val="2"/>
        <scheme val="minor"/>
      </rPr>
      <t xml:space="preserve"> </t>
    </r>
    <r>
      <rPr>
        <sz val="12"/>
        <color theme="8" tint="0.59999389629810485"/>
        <rFont val="Calibri"/>
        <family val="2"/>
        <scheme val="minor"/>
      </rPr>
      <t>The reference period for all 'Amsterdam (US)' contracts is</t>
    </r>
    <r>
      <rPr>
        <b/>
        <sz val="12"/>
        <color theme="8" tint="0.59999389629810485"/>
        <rFont val="Calibri"/>
        <family val="2"/>
        <scheme val="minor"/>
      </rPr>
      <t xml:space="preserve"> 20 January 2025 - 16 January 2026</t>
    </r>
  </si>
  <si>
    <t>EDP</t>
  </si>
  <si>
    <t>Banca Monte Paschi Siena</t>
  </si>
  <si>
    <t>BMP8</t>
  </si>
  <si>
    <t>BPER Banca</t>
  </si>
  <si>
    <t>BPE8</t>
  </si>
  <si>
    <t>Vend</t>
  </si>
  <si>
    <r>
      <t xml:space="preserve">Dividend overview for 22 December 2025 - 18 December 2026, 22 December 2025 - 19 June 2026, 22 December 2025 - 20 March 2026                           and 22 December 2025 - 18 September 2026
</t>
    </r>
    <r>
      <rPr>
        <b/>
        <sz val="12"/>
        <color rgb="FFFFC000"/>
        <rFont val="Calibri"/>
        <family val="2"/>
        <scheme val="minor"/>
      </rPr>
      <t>Note:</t>
    </r>
    <r>
      <rPr>
        <sz val="12"/>
        <color rgb="FFFFC000"/>
        <rFont val="Calibri"/>
        <family val="2"/>
        <scheme val="minor"/>
      </rPr>
      <t xml:space="preserve"> </t>
    </r>
    <r>
      <rPr>
        <sz val="12"/>
        <color theme="8" tint="0.59999389629810485"/>
        <rFont val="Calibri"/>
        <family val="2"/>
        <scheme val="minor"/>
      </rPr>
      <t>The reference period for all 'Amsterdam (US)' contracts is</t>
    </r>
    <r>
      <rPr>
        <b/>
        <sz val="12"/>
        <color theme="8" tint="0.59999389629810485"/>
        <rFont val="Calibri"/>
        <family val="2"/>
        <scheme val="minor"/>
      </rPr>
      <t xml:space="preserve"> 19 January 2026 - 15 January 2027</t>
    </r>
  </si>
  <si>
    <t>UL8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</si>
</sst>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&quot;-&quot;??_);_(@_)"/>
    <numFmt numFmtId="165" formatCode="[$-409]d\-mmm\-yy;@"/>
    <numFmt numFmtId="166" formatCode="0.0000"/>
    <numFmt numFmtId="167" formatCode="0.000000"/>
    <numFmt numFmtId="168" formatCode="0.00000"/>
    <numFmt numFmtId="169" formatCode="0.000"/>
    <numFmt numFmtId="170" formatCode="0.0000;\-0.0000;;@\,"/>
  </numFmts>
  <fonts count="2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0"/>
      <color rgb="FFFFC000"/>
      <name val="Calibri"/>
      <family val="2"/>
      <scheme val="minor"/>
    </font>
    <font>
      <sz val="10"/>
      <color rgb="FFFFC000"/>
      <name val="Calibri"/>
      <family val="2"/>
      <scheme val="minor"/>
    </font>
    <font>
      <sz val="10"/>
      <color theme="8" tint="0.59999389629810485"/>
      <name val="Calibri"/>
      <family val="2"/>
      <scheme val="minor"/>
    </font>
    <font>
      <b/>
      <sz val="10"/>
      <color theme="8" tint="0.59999389629810485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0" tint="-0.34998626667073579"/>
      <name val="Calibri"/>
      <family val="2"/>
      <scheme val="minor"/>
    </font>
    <font>
      <sz val="8"/>
      <color theme="1" tint="0.34998626667073579"/>
      <name val="Calibri"/>
      <family val="2"/>
      <scheme val="minor"/>
    </font>
    <font>
      <b/>
      <sz val="8"/>
      <color theme="1" tint="0.249977111117893"/>
      <name val="Calibri"/>
      <family val="2"/>
      <scheme val="minor"/>
    </font>
    <font>
      <sz val="8"/>
      <color theme="1" tint="0.249977111117893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0" tint="-4.9989318521683403E-2"/>
      <name val="Calibri"/>
      <family val="2"/>
      <scheme val="minor"/>
    </font>
    <font>
      <sz val="11"/>
      <color theme="0" tint="-4.9989318521683403E-2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rgb="FFFFC000"/>
      <name val="Calibri"/>
      <family val="2"/>
      <scheme val="minor"/>
    </font>
    <font>
      <sz val="12"/>
      <color rgb="FFFFC000"/>
      <name val="Calibri"/>
      <family val="2"/>
      <scheme val="minor"/>
    </font>
    <font>
      <sz val="12"/>
      <color theme="8" tint="0.59999389629810485"/>
      <name val="Calibri"/>
      <family val="2"/>
      <scheme val="minor"/>
    </font>
    <font>
      <b/>
      <sz val="12"/>
      <color theme="8" tint="0.59999389629810485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33993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theme="9" tint="0.39997558519241921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 tint="-0.14999847407452621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14999847407452621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/>
      <right style="thin">
        <color theme="0" tint="-0.1499679555650502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0" tint="-0.14999847407452621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theme="0" tint="-0.14999847407452621"/>
      </left>
      <right style="thin">
        <color theme="1"/>
      </right>
      <top style="thin">
        <color indexed="64"/>
      </top>
      <bottom/>
      <diagonal/>
    </border>
    <border>
      <left/>
      <right style="thin">
        <color theme="0" tint="-0.14996795556505021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0" tint="-0.14999847407452621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 tint="-0.14999847407452621"/>
      </left>
      <right style="thin">
        <color theme="1"/>
      </right>
      <top/>
      <bottom style="thin">
        <color indexed="64"/>
      </bottom>
      <diagonal/>
    </border>
    <border>
      <left/>
      <right style="thin">
        <color theme="0" tint="-0.14996795556505021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 tint="-0.14999847407452621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theme="0" tint="-0.14996795556505021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theme="0" tint="-0.14999847407452621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theme="0" tint="-0.14996795556505021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0" tint="-0.14999847407452621"/>
      </left>
      <right style="thin">
        <color theme="1"/>
      </right>
      <top style="medium">
        <color indexed="64"/>
      </top>
      <bottom style="thin">
        <color indexed="64"/>
      </bottom>
      <diagonal/>
    </border>
    <border>
      <left style="thin">
        <color theme="0" tint="-0.14999847407452621"/>
      </left>
      <right style="thin">
        <color theme="1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theme="0" tint="-0.14999847407452621"/>
      </left>
      <right/>
      <top style="thin">
        <color indexed="64"/>
      </top>
      <bottom style="thin">
        <color indexed="64"/>
      </bottom>
      <diagonal/>
    </border>
    <border>
      <left/>
      <right style="thin">
        <color theme="0" tint="-0.14999847407452621"/>
      </right>
      <top style="thin">
        <color indexed="64"/>
      </top>
      <bottom style="thin">
        <color indexed="64"/>
      </bottom>
      <diagonal/>
    </border>
    <border>
      <left style="thin">
        <color theme="0" tint="-0.1499984740745262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7">
    <xf numFmtId="0" fontId="0" fillId="0" borderId="0"/>
    <xf numFmtId="0" fontId="14" fillId="0" borderId="0"/>
    <xf numFmtId="0" fontId="14" fillId="0" borderId="0"/>
    <xf numFmtId="164" fontId="14" fillId="0" borderId="0" applyFont="0" applyFill="0" applyBorder="0" applyAlignment="0" applyProtection="0"/>
    <xf numFmtId="0" fontId="14" fillId="0" borderId="0"/>
    <xf numFmtId="0" fontId="13" fillId="0" borderId="0"/>
    <xf numFmtId="0" fontId="14" fillId="0" borderId="0" applyNumberFormat="0" applyFont="0" applyFill="0" applyBorder="0" applyAlignment="0" applyProtection="0"/>
  </cellStyleXfs>
  <cellXfs count="18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165" fontId="2" fillId="0" borderId="0" xfId="0" applyNumberFormat="1" applyFont="1" applyProtection="1">
      <protection locked="0"/>
    </xf>
    <xf numFmtId="0" fontId="3" fillId="3" borderId="0" xfId="0" applyFont="1" applyFill="1" applyAlignment="1">
      <alignment vertical="top"/>
    </xf>
    <xf numFmtId="0" fontId="0" fillId="3" borderId="0" xfId="0" applyFill="1"/>
    <xf numFmtId="0" fontId="2" fillId="4" borderId="0" xfId="0" applyFont="1" applyFill="1"/>
    <xf numFmtId="0" fontId="1" fillId="5" borderId="0" xfId="0" applyFont="1" applyFill="1"/>
    <xf numFmtId="0" fontId="8" fillId="5" borderId="0" xfId="0" applyFont="1" applyFill="1"/>
    <xf numFmtId="0" fontId="9" fillId="0" borderId="0" xfId="0" applyFont="1" applyAlignment="1">
      <alignment horizontal="left"/>
    </xf>
    <xf numFmtId="0" fontId="1" fillId="0" borderId="0" xfId="0" applyFont="1"/>
    <xf numFmtId="0" fontId="8" fillId="0" borderId="0" xfId="0" applyFont="1"/>
    <xf numFmtId="0" fontId="0" fillId="6" borderId="1" xfId="0" applyFill="1" applyBorder="1"/>
    <xf numFmtId="0" fontId="0" fillId="5" borderId="2" xfId="0" applyFill="1" applyBorder="1" applyAlignment="1">
      <alignment horizontal="center"/>
    </xf>
    <xf numFmtId="0" fontId="10" fillId="5" borderId="3" xfId="0" applyFont="1" applyFill="1" applyBorder="1" applyAlignment="1">
      <alignment horizontal="center"/>
    </xf>
    <xf numFmtId="165" fontId="2" fillId="0" borderId="4" xfId="0" applyNumberFormat="1" applyFont="1" applyBorder="1" applyProtection="1">
      <protection locked="0"/>
    </xf>
    <xf numFmtId="166" fontId="2" fillId="0" borderId="5" xfId="0" applyNumberFormat="1" applyFont="1" applyBorder="1" applyProtection="1">
      <protection locked="0"/>
    </xf>
    <xf numFmtId="165" fontId="2" fillId="0" borderId="7" xfId="0" applyNumberFormat="1" applyFont="1" applyBorder="1" applyProtection="1">
      <protection locked="0"/>
    </xf>
    <xf numFmtId="166" fontId="2" fillId="0" borderId="5" xfId="0" applyNumberFormat="1" applyFont="1" applyBorder="1"/>
    <xf numFmtId="0" fontId="0" fillId="7" borderId="1" xfId="0" applyFill="1" applyBorder="1"/>
    <xf numFmtId="0" fontId="0" fillId="8" borderId="2" xfId="0" applyFill="1" applyBorder="1" applyAlignment="1">
      <alignment horizontal="center"/>
    </xf>
    <xf numFmtId="0" fontId="11" fillId="8" borderId="3" xfId="0" applyFont="1" applyFill="1" applyBorder="1" applyAlignment="1">
      <alignment horizontal="center"/>
    </xf>
    <xf numFmtId="0" fontId="12" fillId="8" borderId="3" xfId="0" applyFont="1" applyFill="1" applyBorder="1" applyAlignment="1">
      <alignment horizontal="center"/>
    </xf>
    <xf numFmtId="165" fontId="2" fillId="9" borderId="4" xfId="0" applyNumberFormat="1" applyFont="1" applyFill="1" applyBorder="1" applyProtection="1">
      <protection locked="0"/>
    </xf>
    <xf numFmtId="166" fontId="2" fillId="9" borderId="5" xfId="0" applyNumberFormat="1" applyFont="1" applyFill="1" applyBorder="1" applyProtection="1">
      <protection locked="0"/>
    </xf>
    <xf numFmtId="165" fontId="2" fillId="9" borderId="7" xfId="0" applyNumberFormat="1" applyFont="1" applyFill="1" applyBorder="1" applyProtection="1">
      <protection locked="0"/>
    </xf>
    <xf numFmtId="166" fontId="2" fillId="9" borderId="5" xfId="0" applyNumberFormat="1" applyFont="1" applyFill="1" applyBorder="1"/>
    <xf numFmtId="0" fontId="2" fillId="0" borderId="5" xfId="0" applyFont="1" applyBorder="1" applyProtection="1">
      <protection locked="0"/>
    </xf>
    <xf numFmtId="166" fontId="2" fillId="0" borderId="0" xfId="0" applyNumberFormat="1" applyFont="1" applyProtection="1">
      <protection locked="0"/>
    </xf>
    <xf numFmtId="165" fontId="2" fillId="2" borderId="4" xfId="0" applyNumberFormat="1" applyFont="1" applyFill="1" applyBorder="1" applyProtection="1">
      <protection locked="0"/>
    </xf>
    <xf numFmtId="0" fontId="2" fillId="2" borderId="5" xfId="0" applyFont="1" applyFill="1" applyBorder="1"/>
    <xf numFmtId="0" fontId="0" fillId="6" borderId="8" xfId="0" applyFill="1" applyBorder="1"/>
    <xf numFmtId="0" fontId="0" fillId="5" borderId="9" xfId="0" applyFill="1" applyBorder="1" applyAlignment="1">
      <alignment horizontal="center"/>
    </xf>
    <xf numFmtId="0" fontId="0" fillId="0" borderId="10" xfId="0" applyBorder="1"/>
    <xf numFmtId="0" fontId="0" fillId="6" borderId="11" xfId="0" applyFill="1" applyBorder="1"/>
    <xf numFmtId="0" fontId="0" fillId="5" borderId="11" xfId="0" applyFill="1" applyBorder="1" applyAlignment="1">
      <alignment horizontal="center"/>
    </xf>
    <xf numFmtId="0" fontId="0" fillId="0" borderId="12" xfId="0" applyBorder="1"/>
    <xf numFmtId="0" fontId="0" fillId="6" borderId="2" xfId="0" applyFill="1" applyBorder="1"/>
    <xf numFmtId="0" fontId="0" fillId="7" borderId="2" xfId="0" applyFill="1" applyBorder="1"/>
    <xf numFmtId="0" fontId="10" fillId="5" borderId="13" xfId="0" applyFont="1" applyFill="1" applyBorder="1" applyAlignment="1">
      <alignment horizontal="center"/>
    </xf>
    <xf numFmtId="165" fontId="2" fillId="0" borderId="14" xfId="0" applyNumberFormat="1" applyFont="1" applyBorder="1" applyProtection="1">
      <protection locked="0"/>
    </xf>
    <xf numFmtId="166" fontId="2" fillId="0" borderId="15" xfId="0" applyNumberFormat="1" applyFont="1" applyBorder="1" applyProtection="1">
      <protection locked="0"/>
    </xf>
    <xf numFmtId="165" fontId="2" fillId="0" borderId="17" xfId="0" applyNumberFormat="1" applyFont="1" applyBorder="1" applyProtection="1">
      <protection locked="0"/>
    </xf>
    <xf numFmtId="166" fontId="2" fillId="0" borderId="15" xfId="0" applyNumberFormat="1" applyFont="1" applyBorder="1"/>
    <xf numFmtId="0" fontId="0" fillId="6" borderId="18" xfId="0" applyFill="1" applyBorder="1"/>
    <xf numFmtId="0" fontId="10" fillId="5" borderId="19" xfId="0" applyFont="1" applyFill="1" applyBorder="1" applyAlignment="1">
      <alignment horizontal="center"/>
    </xf>
    <xf numFmtId="165" fontId="2" fillId="0" borderId="20" xfId="0" applyNumberFormat="1" applyFont="1" applyBorder="1" applyProtection="1">
      <protection locked="0"/>
    </xf>
    <xf numFmtId="166" fontId="2" fillId="0" borderId="21" xfId="0" applyNumberFormat="1" applyFont="1" applyBorder="1" applyProtection="1">
      <protection locked="0"/>
    </xf>
    <xf numFmtId="165" fontId="2" fillId="0" borderId="23" xfId="0" applyNumberFormat="1" applyFont="1" applyBorder="1" applyProtection="1">
      <protection locked="0"/>
    </xf>
    <xf numFmtId="166" fontId="2" fillId="0" borderId="21" xfId="0" applyNumberFormat="1" applyFont="1" applyBorder="1"/>
    <xf numFmtId="0" fontId="0" fillId="6" borderId="24" xfId="0" applyFill="1" applyBorder="1"/>
    <xf numFmtId="0" fontId="0" fillId="5" borderId="25" xfId="0" applyFill="1" applyBorder="1" applyAlignment="1">
      <alignment horizontal="center"/>
    </xf>
    <xf numFmtId="0" fontId="10" fillId="5" borderId="26" xfId="0" applyFont="1" applyFill="1" applyBorder="1" applyAlignment="1">
      <alignment horizontal="center"/>
    </xf>
    <xf numFmtId="165" fontId="2" fillId="0" borderId="27" xfId="0" applyNumberFormat="1" applyFont="1" applyBorder="1" applyProtection="1">
      <protection locked="0"/>
    </xf>
    <xf numFmtId="166" fontId="2" fillId="0" borderId="28" xfId="0" applyNumberFormat="1" applyFont="1" applyBorder="1" applyProtection="1">
      <protection locked="0"/>
    </xf>
    <xf numFmtId="165" fontId="2" fillId="0" borderId="29" xfId="0" applyNumberFormat="1" applyFont="1" applyBorder="1" applyProtection="1">
      <protection locked="0"/>
    </xf>
    <xf numFmtId="0" fontId="0" fillId="6" borderId="31" xfId="0" applyFill="1" applyBorder="1"/>
    <xf numFmtId="0" fontId="0" fillId="5" borderId="32" xfId="0" applyFill="1" applyBorder="1" applyAlignment="1">
      <alignment horizontal="center"/>
    </xf>
    <xf numFmtId="0" fontId="10" fillId="5" borderId="33" xfId="0" applyFont="1" applyFill="1" applyBorder="1" applyAlignment="1">
      <alignment horizontal="center"/>
    </xf>
    <xf numFmtId="165" fontId="2" fillId="0" borderId="34" xfId="0" applyNumberFormat="1" applyFont="1" applyBorder="1" applyProtection="1">
      <protection locked="0"/>
    </xf>
    <xf numFmtId="166" fontId="2" fillId="0" borderId="35" xfId="0" applyNumberFormat="1" applyFont="1" applyBorder="1" applyProtection="1">
      <protection locked="0"/>
    </xf>
    <xf numFmtId="165" fontId="2" fillId="0" borderId="36" xfId="0" applyNumberFormat="1" applyFont="1" applyBorder="1" applyProtection="1">
      <protection locked="0"/>
    </xf>
    <xf numFmtId="166" fontId="2" fillId="0" borderId="37" xfId="0" applyNumberFormat="1" applyFont="1" applyBorder="1"/>
    <xf numFmtId="166" fontId="2" fillId="0" borderId="6" xfId="0" applyNumberFormat="1" applyFont="1" applyBorder="1" applyProtection="1">
      <protection locked="0"/>
    </xf>
    <xf numFmtId="0" fontId="0" fillId="7" borderId="8" xfId="0" applyFill="1" applyBorder="1"/>
    <xf numFmtId="0" fontId="0" fillId="8" borderId="9" xfId="0" applyFill="1" applyBorder="1" applyAlignment="1">
      <alignment horizontal="center"/>
    </xf>
    <xf numFmtId="0" fontId="0" fillId="8" borderId="5" xfId="0" applyFill="1" applyBorder="1" applyAlignment="1">
      <alignment horizontal="center"/>
    </xf>
    <xf numFmtId="0" fontId="11" fillId="8" borderId="13" xfId="0" applyFont="1" applyFill="1" applyBorder="1" applyAlignment="1">
      <alignment horizontal="center"/>
    </xf>
    <xf numFmtId="0" fontId="12" fillId="8" borderId="13" xfId="0" applyFont="1" applyFill="1" applyBorder="1" applyAlignment="1">
      <alignment horizontal="center"/>
    </xf>
    <xf numFmtId="0" fontId="2" fillId="2" borderId="5" xfId="0" applyFont="1" applyFill="1" applyBorder="1" applyProtection="1">
      <protection locked="0"/>
    </xf>
    <xf numFmtId="166" fontId="15" fillId="0" borderId="30" xfId="0" applyNumberFormat="1" applyFont="1" applyBorder="1"/>
    <xf numFmtId="166" fontId="2" fillId="2" borderId="5" xfId="0" applyNumberFormat="1" applyFont="1" applyFill="1" applyBorder="1" applyProtection="1">
      <protection locked="0"/>
    </xf>
    <xf numFmtId="165" fontId="2" fillId="8" borderId="4" xfId="0" applyNumberFormat="1" applyFont="1" applyFill="1" applyBorder="1" applyProtection="1">
      <protection locked="0"/>
    </xf>
    <xf numFmtId="166" fontId="2" fillId="8" borderId="5" xfId="0" applyNumberFormat="1" applyFont="1" applyFill="1" applyBorder="1" applyProtection="1">
      <protection locked="0"/>
    </xf>
    <xf numFmtId="165" fontId="2" fillId="8" borderId="7" xfId="0" applyNumberFormat="1" applyFont="1" applyFill="1" applyBorder="1" applyProtection="1">
      <protection locked="0"/>
    </xf>
    <xf numFmtId="166" fontId="2" fillId="8" borderId="5" xfId="0" applyNumberFormat="1" applyFont="1" applyFill="1" applyBorder="1"/>
    <xf numFmtId="166" fontId="2" fillId="2" borderId="5" xfId="0" applyNumberFormat="1" applyFont="1" applyFill="1" applyBorder="1"/>
    <xf numFmtId="166" fontId="2" fillId="9" borderId="6" xfId="0" applyNumberFormat="1" applyFont="1" applyFill="1" applyBorder="1" applyProtection="1">
      <protection locked="0"/>
    </xf>
    <xf numFmtId="166" fontId="2" fillId="8" borderId="6" xfId="0" applyNumberFormat="1" applyFont="1" applyFill="1" applyBorder="1" applyProtection="1">
      <protection locked="0"/>
    </xf>
    <xf numFmtId="166" fontId="2" fillId="0" borderId="16" xfId="0" applyNumberFormat="1" applyFont="1" applyBorder="1" applyProtection="1">
      <protection locked="0"/>
    </xf>
    <xf numFmtId="166" fontId="2" fillId="0" borderId="22" xfId="0" applyNumberFormat="1" applyFont="1" applyBorder="1" applyProtection="1">
      <protection locked="0"/>
    </xf>
    <xf numFmtId="166" fontId="2" fillId="0" borderId="38" xfId="0" applyNumberFormat="1" applyFont="1" applyBorder="1" applyProtection="1">
      <protection locked="0"/>
    </xf>
    <xf numFmtId="166" fontId="2" fillId="0" borderId="39" xfId="0" applyNumberFormat="1" applyFont="1" applyBorder="1" applyProtection="1">
      <protection locked="0"/>
    </xf>
    <xf numFmtId="0" fontId="0" fillId="0" borderId="0" xfId="0" applyAlignment="1">
      <alignment horizontal="right"/>
    </xf>
    <xf numFmtId="165" fontId="0" fillId="0" borderId="0" xfId="0" applyNumberFormat="1" applyProtection="1">
      <protection locked="0"/>
    </xf>
    <xf numFmtId="0" fontId="16" fillId="0" borderId="0" xfId="0" applyFont="1"/>
    <xf numFmtId="0" fontId="0" fillId="4" borderId="0" xfId="0" applyFill="1"/>
    <xf numFmtId="0" fontId="0" fillId="10" borderId="0" xfId="0" applyFill="1"/>
    <xf numFmtId="166" fontId="0" fillId="0" borderId="5" xfId="0" applyNumberFormat="1" applyBorder="1" applyProtection="1">
      <protection locked="0"/>
    </xf>
    <xf numFmtId="166" fontId="0" fillId="0" borderId="5" xfId="0" applyNumberFormat="1" applyBorder="1"/>
    <xf numFmtId="0" fontId="0" fillId="0" borderId="5" xfId="0" applyBorder="1"/>
    <xf numFmtId="167" fontId="0" fillId="2" borderId="5" xfId="0" applyNumberFormat="1" applyFill="1" applyBorder="1" applyProtection="1">
      <protection locked="0"/>
    </xf>
    <xf numFmtId="167" fontId="0" fillId="0" borderId="5" xfId="0" applyNumberFormat="1" applyBorder="1" applyProtection="1">
      <protection locked="0"/>
    </xf>
    <xf numFmtId="168" fontId="0" fillId="0" borderId="5" xfId="0" applyNumberFormat="1" applyBorder="1" applyProtection="1">
      <protection locked="0"/>
    </xf>
    <xf numFmtId="166" fontId="0" fillId="2" borderId="5" xfId="0" applyNumberFormat="1" applyFill="1" applyBorder="1" applyProtection="1">
      <protection locked="0"/>
    </xf>
    <xf numFmtId="165" fontId="17" fillId="11" borderId="4" xfId="0" applyNumberFormat="1" applyFont="1" applyFill="1" applyBorder="1" applyAlignment="1" applyProtection="1">
      <alignment horizontal="right"/>
      <protection locked="0"/>
    </xf>
    <xf numFmtId="166" fontId="18" fillId="11" borderId="5" xfId="0" applyNumberFormat="1" applyFont="1" applyFill="1" applyBorder="1" applyProtection="1">
      <protection locked="0"/>
    </xf>
    <xf numFmtId="165" fontId="2" fillId="11" borderId="4" xfId="0" applyNumberFormat="1" applyFont="1" applyFill="1" applyBorder="1" applyProtection="1">
      <protection locked="0"/>
    </xf>
    <xf numFmtId="166" fontId="0" fillId="11" borderId="5" xfId="0" applyNumberFormat="1" applyFill="1" applyBorder="1" applyProtection="1">
      <protection locked="0"/>
    </xf>
    <xf numFmtId="166" fontId="0" fillId="0" borderId="0" xfId="0" applyNumberFormat="1" applyProtection="1">
      <protection locked="0"/>
    </xf>
    <xf numFmtId="168" fontId="0" fillId="2" borderId="5" xfId="0" applyNumberFormat="1" applyFill="1" applyBorder="1" applyProtection="1">
      <protection locked="0"/>
    </xf>
    <xf numFmtId="0" fontId="19" fillId="0" borderId="5" xfId="0" applyFont="1" applyBorder="1"/>
    <xf numFmtId="166" fontId="0" fillId="11" borderId="5" xfId="0" applyNumberFormat="1" applyFill="1" applyBorder="1"/>
    <xf numFmtId="0" fontId="2" fillId="10" borderId="0" xfId="0" applyFont="1" applyFill="1"/>
    <xf numFmtId="165" fontId="2" fillId="0" borderId="6" xfId="0" applyNumberFormat="1" applyFont="1" applyBorder="1" applyProtection="1">
      <protection locked="0"/>
    </xf>
    <xf numFmtId="165" fontId="2" fillId="12" borderId="4" xfId="0" applyNumberFormat="1" applyFont="1" applyFill="1" applyBorder="1" applyProtection="1">
      <protection locked="0"/>
    </xf>
    <xf numFmtId="166" fontId="2" fillId="12" borderId="5" xfId="0" applyNumberFormat="1" applyFont="1" applyFill="1" applyBorder="1" applyProtection="1">
      <protection locked="0"/>
    </xf>
    <xf numFmtId="0" fontId="2" fillId="0" borderId="6" xfId="0" applyFont="1" applyBorder="1" applyProtection="1">
      <protection locked="0"/>
    </xf>
    <xf numFmtId="169" fontId="2" fillId="0" borderId="5" xfId="0" applyNumberFormat="1" applyFont="1" applyBorder="1" applyProtection="1">
      <protection locked="0"/>
    </xf>
    <xf numFmtId="168" fontId="2" fillId="0" borderId="5" xfId="0" applyNumberFormat="1" applyFont="1" applyBorder="1" applyProtection="1">
      <protection locked="0"/>
    </xf>
    <xf numFmtId="165" fontId="15" fillId="13" borderId="4" xfId="0" applyNumberFormat="1" applyFont="1" applyFill="1" applyBorder="1" applyAlignment="1" applyProtection="1">
      <alignment horizontal="right"/>
      <protection locked="0"/>
    </xf>
    <xf numFmtId="166" fontId="15" fillId="13" borderId="5" xfId="0" applyNumberFormat="1" applyFont="1" applyFill="1" applyBorder="1" applyProtection="1">
      <protection locked="0"/>
    </xf>
    <xf numFmtId="165" fontId="2" fillId="13" borderId="4" xfId="0" applyNumberFormat="1" applyFont="1" applyFill="1" applyBorder="1" applyProtection="1">
      <protection locked="0"/>
    </xf>
    <xf numFmtId="166" fontId="2" fillId="13" borderId="5" xfId="0" applyNumberFormat="1" applyFont="1" applyFill="1" applyBorder="1" applyProtection="1">
      <protection locked="0"/>
    </xf>
    <xf numFmtId="165" fontId="2" fillId="13" borderId="6" xfId="0" applyNumberFormat="1" applyFont="1" applyFill="1" applyBorder="1" applyProtection="1">
      <protection locked="0"/>
    </xf>
    <xf numFmtId="165" fontId="2" fillId="13" borderId="7" xfId="0" applyNumberFormat="1" applyFont="1" applyFill="1" applyBorder="1" applyProtection="1">
      <protection locked="0"/>
    </xf>
    <xf numFmtId="166" fontId="2" fillId="13" borderId="5" xfId="0" applyNumberFormat="1" applyFont="1" applyFill="1" applyBorder="1"/>
    <xf numFmtId="0" fontId="0" fillId="6" borderId="3" xfId="0" applyFill="1" applyBorder="1"/>
    <xf numFmtId="167" fontId="2" fillId="0" borderId="5" xfId="0" applyNumberFormat="1" applyFont="1" applyBorder="1" applyProtection="1">
      <protection locked="0"/>
    </xf>
    <xf numFmtId="0" fontId="20" fillId="0" borderId="5" xfId="0" applyFont="1" applyBorder="1"/>
    <xf numFmtId="0" fontId="0" fillId="0" borderId="0" xfId="0" applyProtection="1">
      <protection locked="0"/>
    </xf>
    <xf numFmtId="165" fontId="2" fillId="0" borderId="16" xfId="0" applyNumberFormat="1" applyFont="1" applyBorder="1" applyProtection="1">
      <protection locked="0"/>
    </xf>
    <xf numFmtId="165" fontId="2" fillId="2" borderId="27" xfId="0" applyNumberFormat="1" applyFont="1" applyFill="1" applyBorder="1" applyProtection="1">
      <protection locked="0"/>
    </xf>
    <xf numFmtId="166" fontId="2" fillId="2" borderId="28" xfId="0" applyNumberFormat="1" applyFont="1" applyFill="1" applyBorder="1" applyProtection="1">
      <protection locked="0"/>
    </xf>
    <xf numFmtId="165" fontId="2" fillId="0" borderId="38" xfId="0" applyNumberFormat="1" applyFont="1" applyBorder="1" applyProtection="1">
      <protection locked="0"/>
    </xf>
    <xf numFmtId="0" fontId="2" fillId="0" borderId="40" xfId="0" applyFont="1" applyBorder="1"/>
    <xf numFmtId="165" fontId="2" fillId="0" borderId="39" xfId="0" applyNumberFormat="1" applyFont="1" applyBorder="1" applyProtection="1">
      <protection locked="0"/>
    </xf>
    <xf numFmtId="165" fontId="2" fillId="0" borderId="22" xfId="0" applyNumberFormat="1" applyFont="1" applyBorder="1" applyProtection="1">
      <protection locked="0"/>
    </xf>
    <xf numFmtId="165" fontId="2" fillId="0" borderId="41" xfId="0" applyNumberFormat="1" applyFont="1" applyBorder="1" applyProtection="1">
      <protection locked="0"/>
    </xf>
    <xf numFmtId="166" fontId="2" fillId="0" borderId="2" xfId="0" applyNumberFormat="1" applyFont="1" applyBorder="1" applyProtection="1">
      <protection locked="0"/>
    </xf>
    <xf numFmtId="165" fontId="2" fillId="13" borderId="23" xfId="0" applyNumberFormat="1" applyFont="1" applyFill="1" applyBorder="1" applyProtection="1">
      <protection locked="0"/>
    </xf>
    <xf numFmtId="166" fontId="2" fillId="13" borderId="21" xfId="0" applyNumberFormat="1" applyFont="1" applyFill="1" applyBorder="1" applyProtection="1">
      <protection locked="0"/>
    </xf>
    <xf numFmtId="166" fontId="2" fillId="12" borderId="42" xfId="0" applyNumberFormat="1" applyFont="1" applyFill="1" applyBorder="1" applyProtection="1">
      <protection locked="0"/>
    </xf>
    <xf numFmtId="165" fontId="2" fillId="12" borderId="1" xfId="0" applyNumberFormat="1" applyFont="1" applyFill="1" applyBorder="1" applyProtection="1">
      <protection locked="0"/>
    </xf>
    <xf numFmtId="0" fontId="0" fillId="7" borderId="3" xfId="0" applyFill="1" applyBorder="1"/>
    <xf numFmtId="0" fontId="11" fillId="14" borderId="3" xfId="0" applyFont="1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0" fillId="14" borderId="3" xfId="0" applyFill="1" applyBorder="1" applyAlignment="1">
      <alignment horizontal="center"/>
    </xf>
    <xf numFmtId="0" fontId="11" fillId="14" borderId="13" xfId="0" applyFont="1" applyFill="1" applyBorder="1" applyAlignment="1">
      <alignment horizontal="center"/>
    </xf>
    <xf numFmtId="165" fontId="2" fillId="9" borderId="14" xfId="0" applyNumberFormat="1" applyFont="1" applyFill="1" applyBorder="1" applyProtection="1">
      <protection locked="0"/>
    </xf>
    <xf numFmtId="166" fontId="2" fillId="9" borderId="15" xfId="0" applyNumberFormat="1" applyFont="1" applyFill="1" applyBorder="1" applyProtection="1">
      <protection locked="0"/>
    </xf>
    <xf numFmtId="165" fontId="2" fillId="9" borderId="17" xfId="0" applyNumberFormat="1" applyFont="1" applyFill="1" applyBorder="1" applyProtection="1">
      <protection locked="0"/>
    </xf>
    <xf numFmtId="165" fontId="2" fillId="15" borderId="4" xfId="0" applyNumberFormat="1" applyFont="1" applyFill="1" applyBorder="1" applyProtection="1">
      <protection locked="0"/>
    </xf>
    <xf numFmtId="166" fontId="2" fillId="15" borderId="5" xfId="0" applyNumberFormat="1" applyFont="1" applyFill="1" applyBorder="1" applyProtection="1">
      <protection locked="0"/>
    </xf>
    <xf numFmtId="165" fontId="2" fillId="15" borderId="7" xfId="0" applyNumberFormat="1" applyFont="1" applyFill="1" applyBorder="1" applyProtection="1">
      <protection locked="0"/>
    </xf>
    <xf numFmtId="166" fontId="2" fillId="15" borderId="5" xfId="0" applyNumberFormat="1" applyFont="1" applyFill="1" applyBorder="1"/>
    <xf numFmtId="166" fontId="2" fillId="0" borderId="7" xfId="0" applyNumberFormat="1" applyFont="1" applyBorder="1" applyProtection="1">
      <protection locked="0"/>
    </xf>
    <xf numFmtId="165" fontId="2" fillId="16" borderId="4" xfId="0" applyNumberFormat="1" applyFont="1" applyFill="1" applyBorder="1" applyProtection="1">
      <protection locked="0"/>
    </xf>
    <xf numFmtId="166" fontId="2" fillId="16" borderId="5" xfId="0" applyNumberFormat="1" applyFont="1" applyFill="1" applyBorder="1" applyProtection="1">
      <protection locked="0"/>
    </xf>
    <xf numFmtId="14" fontId="0" fillId="0" borderId="0" xfId="0" applyNumberFormat="1"/>
    <xf numFmtId="166" fontId="2" fillId="15" borderId="6" xfId="0" applyNumberFormat="1" applyFont="1" applyFill="1" applyBorder="1" applyProtection="1">
      <protection locked="0"/>
    </xf>
    <xf numFmtId="166" fontId="2" fillId="0" borderId="43" xfId="0" applyNumberFormat="1" applyFont="1" applyBorder="1" applyProtection="1">
      <protection locked="0"/>
    </xf>
    <xf numFmtId="170" fontId="2" fillId="0" borderId="5" xfId="0" applyNumberFormat="1" applyFont="1" applyBorder="1" applyProtection="1">
      <protection locked="0"/>
    </xf>
    <xf numFmtId="165" fontId="2" fillId="17" borderId="4" xfId="0" applyNumberFormat="1" applyFont="1" applyFill="1" applyBorder="1" applyProtection="1">
      <protection locked="0"/>
    </xf>
    <xf numFmtId="166" fontId="2" fillId="17" borderId="5" xfId="0" applyNumberFormat="1" applyFont="1" applyFill="1" applyBorder="1" applyProtection="1">
      <protection locked="0"/>
    </xf>
    <xf numFmtId="0" fontId="0" fillId="6" borderId="13" xfId="0" applyFill="1" applyBorder="1"/>
    <xf numFmtId="0" fontId="0" fillId="5" borderId="13" xfId="0" applyFill="1" applyBorder="1" applyAlignment="1">
      <alignment horizontal="center"/>
    </xf>
    <xf numFmtId="170" fontId="2" fillId="0" borderId="15" xfId="0" applyNumberFormat="1" applyFont="1" applyBorder="1" applyProtection="1">
      <protection locked="0"/>
    </xf>
    <xf numFmtId="0" fontId="0" fillId="6" borderId="19" xfId="0" applyFill="1" applyBorder="1"/>
    <xf numFmtId="0" fontId="0" fillId="5" borderId="19" xfId="0" applyFill="1" applyBorder="1" applyAlignment="1">
      <alignment horizontal="center"/>
    </xf>
    <xf numFmtId="170" fontId="2" fillId="0" borderId="21" xfId="0" applyNumberFormat="1" applyFont="1" applyBorder="1" applyProtection="1">
      <protection locked="0"/>
    </xf>
    <xf numFmtId="0" fontId="0" fillId="6" borderId="44" xfId="0" applyFill="1" applyBorder="1"/>
    <xf numFmtId="0" fontId="0" fillId="5" borderId="26" xfId="0" applyFill="1" applyBorder="1" applyAlignment="1">
      <alignment horizontal="center"/>
    </xf>
    <xf numFmtId="0" fontId="0" fillId="6" borderId="45" xfId="0" applyFill="1" applyBorder="1"/>
    <xf numFmtId="0" fontId="0" fillId="5" borderId="33" xfId="0" applyFill="1" applyBorder="1" applyAlignment="1">
      <alignment horizontal="center"/>
    </xf>
    <xf numFmtId="170" fontId="2" fillId="0" borderId="28" xfId="0" applyNumberFormat="1" applyFont="1" applyBorder="1" applyProtection="1">
      <protection locked="0"/>
    </xf>
    <xf numFmtId="166" fontId="2" fillId="0" borderId="30" xfId="0" applyNumberFormat="1" applyFont="1" applyBorder="1"/>
    <xf numFmtId="170" fontId="2" fillId="5" borderId="35" xfId="0" applyNumberFormat="1" applyFont="1" applyFill="1" applyBorder="1" applyProtection="1">
      <protection locked="0"/>
    </xf>
    <xf numFmtId="166" fontId="2" fillId="5" borderId="37" xfId="0" applyNumberFormat="1" applyFont="1" applyFill="1" applyBorder="1"/>
    <xf numFmtId="0" fontId="0" fillId="6" borderId="28" xfId="0" applyFill="1" applyBorder="1"/>
    <xf numFmtId="166" fontId="2" fillId="8" borderId="37" xfId="0" applyNumberFormat="1" applyFont="1" applyFill="1" applyBorder="1"/>
    <xf numFmtId="0" fontId="0" fillId="5" borderId="46" xfId="0" applyFill="1" applyBorder="1" applyAlignment="1">
      <alignment horizontal="center"/>
    </xf>
    <xf numFmtId="0" fontId="10" fillId="5" borderId="46" xfId="0" applyFont="1" applyFill="1" applyBorder="1" applyAlignment="1">
      <alignment horizontal="center"/>
    </xf>
    <xf numFmtId="16" fontId="0" fillId="0" borderId="0" xfId="0" applyNumberFormat="1" applyProtection="1">
      <protection locked="0"/>
    </xf>
    <xf numFmtId="170" fontId="2" fillId="0" borderId="5" xfId="0" applyNumberFormat="1" applyFont="1" applyBorder="1"/>
    <xf numFmtId="165" fontId="2" fillId="17" borderId="1" xfId="0" applyNumberFormat="1" applyFont="1" applyFill="1" applyBorder="1" applyProtection="1">
      <protection locked="0"/>
    </xf>
    <xf numFmtId="0" fontId="21" fillId="0" borderId="0" xfId="0" applyFont="1" applyAlignment="1">
      <alignment horizontal="left" vertical="top" wrapText="1"/>
    </xf>
    <xf numFmtId="0" fontId="26" fillId="0" borderId="0" xfId="0" applyFont="1" applyAlignment="1">
      <alignment wrapText="1"/>
    </xf>
    <xf numFmtId="49" fontId="27" fillId="15" borderId="0" xfId="0" applyNumberFormat="1" applyFont="1" applyFill="1" applyAlignment="1">
      <alignment horizontal="center"/>
    </xf>
    <xf numFmtId="49" fontId="0" fillId="15" borderId="0" xfId="0" applyNumberFormat="1" applyFill="1" applyAlignment="1">
      <alignment horizontal="center"/>
    </xf>
    <xf numFmtId="0" fontId="2" fillId="16" borderId="0" xfId="0" applyFont="1" applyFill="1" applyAlignment="1">
      <alignment horizontal="center"/>
    </xf>
    <xf numFmtId="0" fontId="21" fillId="4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center"/>
    </xf>
    <xf numFmtId="0" fontId="3" fillId="4" borderId="0" xfId="0" applyFont="1" applyFill="1" applyAlignment="1">
      <alignment horizontal="left" vertical="top" wrapText="1"/>
    </xf>
  </cellXfs>
  <cellStyles count="7">
    <cellStyle name="Comma 2" xfId="3" xr:uid="{00000000-0005-0000-0000-000000000000}"/>
    <cellStyle name="Normal" xfId="0" builtinId="0"/>
    <cellStyle name="Normal 10 2" xfId="1" xr:uid="{00000000-0005-0000-0000-000002000000}"/>
    <cellStyle name="Normal 128" xfId="6" xr:uid="{00000000-0005-0000-0000-000003000000}"/>
    <cellStyle name="Normal 2" xfId="4" xr:uid="{00000000-0005-0000-0000-000004000000}"/>
    <cellStyle name="Normal 2 2" xfId="5" xr:uid="{00000000-0005-0000-0000-000005000000}"/>
    <cellStyle name="Normal 3" xfId="2" xr:uid="{00000000-0005-0000-0000-000006000000}"/>
  </cellStyles>
  <dxfs count="0"/>
  <tableStyles count="0" defaultTableStyle="TableStyleMedium2" defaultPivotStyle="PivotStyleLight16"/>
  <colors>
    <mruColors>
      <color rgb="FFFABF8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72836</xdr:colOff>
      <xdr:row>0</xdr:row>
      <xdr:rowOff>28575</xdr:rowOff>
    </xdr:from>
    <xdr:to>
      <xdr:col>14</xdr:col>
      <xdr:colOff>263908</xdr:colOff>
      <xdr:row>8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7BB2D9D-E9F5-4970-8EE9-9D7C8E03E1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36" y="28575"/>
          <a:ext cx="11897297" cy="1933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72836</xdr:colOff>
      <xdr:row>0</xdr:row>
      <xdr:rowOff>28575</xdr:rowOff>
    </xdr:from>
    <xdr:to>
      <xdr:col>15</xdr:col>
      <xdr:colOff>230253</xdr:colOff>
      <xdr:row>8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36" y="28575"/>
          <a:ext cx="11994891" cy="1933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72836</xdr:colOff>
      <xdr:row>0</xdr:row>
      <xdr:rowOff>28575</xdr:rowOff>
    </xdr:from>
    <xdr:to>
      <xdr:col>15</xdr:col>
      <xdr:colOff>230253</xdr:colOff>
      <xdr:row>8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36" y="28575"/>
          <a:ext cx="11977942" cy="1933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114299</xdr:colOff>
      <xdr:row>0</xdr:row>
      <xdr:rowOff>57148</xdr:rowOff>
    </xdr:from>
    <xdr:to>
      <xdr:col>16</xdr:col>
      <xdr:colOff>105861</xdr:colOff>
      <xdr:row>7</xdr:row>
      <xdr:rowOff>616324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F21A852-4678-4AB8-A9EF-4DD97A4192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299" y="57148"/>
          <a:ext cx="11500003" cy="18926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114299</xdr:colOff>
      <xdr:row>0</xdr:row>
      <xdr:rowOff>57148</xdr:rowOff>
    </xdr:from>
    <xdr:to>
      <xdr:col>14</xdr:col>
      <xdr:colOff>143685</xdr:colOff>
      <xdr:row>7</xdr:row>
      <xdr:rowOff>392206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CD213CD-851B-4B90-92D9-1A20F62ED2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299" y="57148"/>
          <a:ext cx="9868151" cy="16685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72836</xdr:colOff>
      <xdr:row>0</xdr:row>
      <xdr:rowOff>28575</xdr:rowOff>
    </xdr:from>
    <xdr:to>
      <xdr:col>14</xdr:col>
      <xdr:colOff>263908</xdr:colOff>
      <xdr:row>8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6663CBD-583B-4FD3-A711-D1DD9B5C21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661" y="25400"/>
          <a:ext cx="12433872" cy="187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72836</xdr:colOff>
      <xdr:row>0</xdr:row>
      <xdr:rowOff>28575</xdr:rowOff>
    </xdr:from>
    <xdr:to>
      <xdr:col>14</xdr:col>
      <xdr:colOff>263908</xdr:colOff>
      <xdr:row>8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576BD4F-B9E4-41E2-9174-6F832AE238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36" y="28575"/>
          <a:ext cx="11861961" cy="1933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72836</xdr:colOff>
      <xdr:row>0</xdr:row>
      <xdr:rowOff>28575</xdr:rowOff>
    </xdr:from>
    <xdr:to>
      <xdr:col>14</xdr:col>
      <xdr:colOff>289532</xdr:colOff>
      <xdr:row>8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EF2EBDB-FB04-4484-8EE4-124E1ECE5A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36" y="28575"/>
          <a:ext cx="11870814" cy="1933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72836</xdr:colOff>
      <xdr:row>0</xdr:row>
      <xdr:rowOff>28575</xdr:rowOff>
    </xdr:from>
    <xdr:to>
      <xdr:col>14</xdr:col>
      <xdr:colOff>326960</xdr:colOff>
      <xdr:row>8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EF6AC7A-50AD-4F8C-89C8-0A100290EF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36" y="28575"/>
          <a:ext cx="11855574" cy="1933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72836</xdr:colOff>
      <xdr:row>0</xdr:row>
      <xdr:rowOff>28575</xdr:rowOff>
    </xdr:from>
    <xdr:to>
      <xdr:col>14</xdr:col>
      <xdr:colOff>326960</xdr:colOff>
      <xdr:row>8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93624BD-31EF-4139-81FB-50AA680C7A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36" y="28575"/>
          <a:ext cx="11847954" cy="1933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72836</xdr:colOff>
      <xdr:row>0</xdr:row>
      <xdr:rowOff>28575</xdr:rowOff>
    </xdr:from>
    <xdr:to>
      <xdr:col>14</xdr:col>
      <xdr:colOff>316165</xdr:colOff>
      <xdr:row>8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1F4ECCC-22BA-45E7-BE8B-A50CFED4A0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36" y="28575"/>
          <a:ext cx="11854117" cy="1933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72836</xdr:colOff>
      <xdr:row>0</xdr:row>
      <xdr:rowOff>28575</xdr:rowOff>
    </xdr:from>
    <xdr:to>
      <xdr:col>15</xdr:col>
      <xdr:colOff>230253</xdr:colOff>
      <xdr:row>8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8A77074-A95B-4EF8-9E68-2BB92FBE3C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36" y="28575"/>
          <a:ext cx="11977942" cy="1933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72836</xdr:colOff>
      <xdr:row>0</xdr:row>
      <xdr:rowOff>28575</xdr:rowOff>
    </xdr:from>
    <xdr:to>
      <xdr:col>15</xdr:col>
      <xdr:colOff>230253</xdr:colOff>
      <xdr:row>8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3DA7BF6-5D1E-4490-ADBC-4A02708341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36" y="28575"/>
          <a:ext cx="11977942" cy="1933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8"/>
  <dimension ref="A1:Z48"/>
  <sheetViews>
    <sheetView workbookViewId="0">
      <selection activeCell="E6" sqref="E6"/>
    </sheetView>
  </sheetViews>
  <sheetFormatPr defaultRowHeight="15" x14ac:dyDescent="0.25"/>
  <cols>
    <col min="2" max="3" width="10.7109375" bestFit="1" customWidth="1"/>
  </cols>
  <sheetData>
    <row r="1" spans="1:26" ht="15.75" x14ac:dyDescent="0.25">
      <c r="A1">
        <v>2026</v>
      </c>
      <c r="B1" t="s">
        <v>698</v>
      </c>
      <c r="C1" t="s">
        <v>699</v>
      </c>
      <c r="L1" s="176"/>
      <c r="M1" s="176"/>
      <c r="N1" s="176"/>
      <c r="O1" s="176"/>
      <c r="P1" s="176"/>
      <c r="Q1" s="176"/>
      <c r="R1" s="176"/>
      <c r="S1" s="176"/>
      <c r="T1" s="176"/>
      <c r="U1" s="176"/>
      <c r="V1" s="176"/>
      <c r="W1" s="176"/>
      <c r="X1" s="176"/>
      <c r="Y1" s="176"/>
      <c r="Z1" s="177"/>
    </row>
    <row r="2" spans="1:26" ht="15.75" customHeight="1" x14ac:dyDescent="0.25">
      <c r="A2" t="s">
        <v>704</v>
      </c>
      <c r="B2" s="149">
        <v>46013</v>
      </c>
      <c r="C2" s="149">
        <v>46041</v>
      </c>
    </row>
    <row r="3" spans="1:26" ht="15.75" customHeight="1" x14ac:dyDescent="0.25">
      <c r="A3" t="s">
        <v>700</v>
      </c>
      <c r="B3" s="149">
        <v>46101</v>
      </c>
    </row>
    <row r="4" spans="1:26" ht="15.75" customHeight="1" x14ac:dyDescent="0.25">
      <c r="A4" t="s">
        <v>701</v>
      </c>
      <c r="B4" s="149">
        <v>46192</v>
      </c>
    </row>
    <row r="5" spans="1:26" ht="15.75" customHeight="1" x14ac:dyDescent="0.25">
      <c r="A5" t="s">
        <v>702</v>
      </c>
      <c r="B5" s="149">
        <v>46283</v>
      </c>
    </row>
    <row r="6" spans="1:26" ht="15.75" customHeight="1" x14ac:dyDescent="0.25">
      <c r="A6" t="s">
        <v>703</v>
      </c>
      <c r="B6" s="149">
        <v>46374</v>
      </c>
      <c r="C6" s="149">
        <v>46402</v>
      </c>
    </row>
    <row r="7" spans="1:26" ht="15.75" customHeight="1" x14ac:dyDescent="0.25">
      <c r="B7" s="149"/>
      <c r="C7" s="149"/>
    </row>
    <row r="8" spans="1:26" ht="15.75" x14ac:dyDescent="0.25">
      <c r="A8">
        <v>2025</v>
      </c>
      <c r="B8" t="s">
        <v>698</v>
      </c>
      <c r="C8" t="s">
        <v>699</v>
      </c>
      <c r="L8" s="176"/>
      <c r="M8" s="176"/>
      <c r="N8" s="176"/>
      <c r="O8" s="176"/>
      <c r="P8" s="176"/>
      <c r="Q8" s="176"/>
      <c r="R8" s="176"/>
      <c r="S8" s="176"/>
      <c r="T8" s="176"/>
      <c r="U8" s="176"/>
      <c r="V8" s="176"/>
      <c r="W8" s="176"/>
      <c r="X8" s="176"/>
      <c r="Y8" s="176"/>
      <c r="Z8" s="177"/>
    </row>
    <row r="9" spans="1:26" ht="15.75" customHeight="1" x14ac:dyDescent="0.25">
      <c r="A9" t="s">
        <v>704</v>
      </c>
      <c r="B9" s="149">
        <v>45649</v>
      </c>
      <c r="C9" s="149">
        <v>45677</v>
      </c>
    </row>
    <row r="10" spans="1:26" ht="15.75" customHeight="1" x14ac:dyDescent="0.25">
      <c r="A10" t="s">
        <v>700</v>
      </c>
      <c r="B10" s="149">
        <v>45737</v>
      </c>
    </row>
    <row r="11" spans="1:26" ht="15.75" customHeight="1" x14ac:dyDescent="0.25">
      <c r="A11" t="s">
        <v>701</v>
      </c>
      <c r="B11" s="149">
        <v>45828</v>
      </c>
    </row>
    <row r="12" spans="1:26" ht="15.75" customHeight="1" x14ac:dyDescent="0.25">
      <c r="A12" t="s">
        <v>702</v>
      </c>
      <c r="B12" s="149">
        <v>45919</v>
      </c>
    </row>
    <row r="13" spans="1:26" ht="15.75" customHeight="1" x14ac:dyDescent="0.25">
      <c r="A13" t="s">
        <v>703</v>
      </c>
      <c r="B13" s="149">
        <v>46010</v>
      </c>
      <c r="C13" s="149">
        <v>45673</v>
      </c>
    </row>
    <row r="15" spans="1:26" ht="15.75" x14ac:dyDescent="0.25">
      <c r="A15">
        <v>2024</v>
      </c>
      <c r="B15" t="s">
        <v>698</v>
      </c>
      <c r="C15" t="s">
        <v>699</v>
      </c>
      <c r="L15" s="176"/>
      <c r="M15" s="176"/>
      <c r="N15" s="176"/>
      <c r="O15" s="176"/>
      <c r="P15" s="176"/>
      <c r="Q15" s="176"/>
      <c r="R15" s="176"/>
      <c r="S15" s="176"/>
      <c r="T15" s="176"/>
      <c r="U15" s="176"/>
      <c r="V15" s="176"/>
      <c r="W15" s="176"/>
      <c r="X15" s="176"/>
      <c r="Y15" s="176"/>
      <c r="Z15" s="177"/>
    </row>
    <row r="16" spans="1:26" ht="15.75" customHeight="1" x14ac:dyDescent="0.25">
      <c r="A16" t="s">
        <v>704</v>
      </c>
      <c r="B16" s="149">
        <v>45278</v>
      </c>
      <c r="C16" s="149">
        <v>45313</v>
      </c>
    </row>
    <row r="17" spans="1:3" ht="15.75" customHeight="1" x14ac:dyDescent="0.25">
      <c r="A17" t="s">
        <v>700</v>
      </c>
      <c r="B17" s="149">
        <v>45366</v>
      </c>
    </row>
    <row r="18" spans="1:3" ht="15.75" customHeight="1" x14ac:dyDescent="0.25">
      <c r="A18" t="s">
        <v>701</v>
      </c>
      <c r="B18" s="149">
        <v>45464</v>
      </c>
    </row>
    <row r="19" spans="1:3" ht="15.75" customHeight="1" x14ac:dyDescent="0.25">
      <c r="A19" t="s">
        <v>702</v>
      </c>
      <c r="B19" s="149">
        <v>45555</v>
      </c>
    </row>
    <row r="20" spans="1:3" ht="15.75" customHeight="1" x14ac:dyDescent="0.25">
      <c r="A20" t="s">
        <v>703</v>
      </c>
      <c r="B20" s="149">
        <v>45646</v>
      </c>
      <c r="C20" s="149">
        <v>45674</v>
      </c>
    </row>
    <row r="22" spans="1:3" x14ac:dyDescent="0.25">
      <c r="A22">
        <v>2023</v>
      </c>
      <c r="B22" t="s">
        <v>698</v>
      </c>
      <c r="C22" t="s">
        <v>699</v>
      </c>
    </row>
    <row r="23" spans="1:3" x14ac:dyDescent="0.25">
      <c r="A23" t="s">
        <v>704</v>
      </c>
      <c r="B23" s="149">
        <v>44914</v>
      </c>
      <c r="C23" s="149">
        <v>44949</v>
      </c>
    </row>
    <row r="24" spans="1:3" x14ac:dyDescent="0.25">
      <c r="A24" t="s">
        <v>700</v>
      </c>
      <c r="B24" s="149">
        <v>45002</v>
      </c>
    </row>
    <row r="25" spans="1:3" x14ac:dyDescent="0.25">
      <c r="A25" t="s">
        <v>701</v>
      </c>
      <c r="B25" s="149">
        <v>45093</v>
      </c>
    </row>
    <row r="26" spans="1:3" x14ac:dyDescent="0.25">
      <c r="A26" t="s">
        <v>702</v>
      </c>
      <c r="B26" s="149">
        <v>45184</v>
      </c>
    </row>
    <row r="27" spans="1:3" x14ac:dyDescent="0.25">
      <c r="A27" t="s">
        <v>703</v>
      </c>
      <c r="B27" s="149">
        <v>45275</v>
      </c>
      <c r="C27" s="149">
        <v>45310</v>
      </c>
    </row>
    <row r="29" spans="1:3" x14ac:dyDescent="0.25">
      <c r="A29">
        <v>2022</v>
      </c>
      <c r="B29" t="s">
        <v>698</v>
      </c>
      <c r="C29" t="s">
        <v>699</v>
      </c>
    </row>
    <row r="30" spans="1:3" x14ac:dyDescent="0.25">
      <c r="A30" t="s">
        <v>704</v>
      </c>
      <c r="B30" s="149">
        <v>44550</v>
      </c>
      <c r="C30" s="149">
        <v>44582</v>
      </c>
    </row>
    <row r="31" spans="1:3" x14ac:dyDescent="0.25">
      <c r="A31" t="s">
        <v>700</v>
      </c>
      <c r="B31" s="149">
        <v>44638</v>
      </c>
    </row>
    <row r="32" spans="1:3" x14ac:dyDescent="0.25">
      <c r="A32" t="s">
        <v>701</v>
      </c>
      <c r="B32" s="149">
        <v>44729</v>
      </c>
    </row>
    <row r="33" spans="1:3" x14ac:dyDescent="0.25">
      <c r="A33" t="s">
        <v>702</v>
      </c>
      <c r="B33" s="149">
        <v>44820</v>
      </c>
    </row>
    <row r="34" spans="1:3" x14ac:dyDescent="0.25">
      <c r="A34" t="s">
        <v>703</v>
      </c>
      <c r="B34" s="149">
        <v>44911</v>
      </c>
      <c r="C34" s="149">
        <v>44946</v>
      </c>
    </row>
    <row r="36" spans="1:3" x14ac:dyDescent="0.25">
      <c r="A36">
        <v>2021</v>
      </c>
      <c r="B36" t="s">
        <v>698</v>
      </c>
      <c r="C36" t="s">
        <v>699</v>
      </c>
    </row>
    <row r="37" spans="1:3" x14ac:dyDescent="0.25">
      <c r="A37" t="s">
        <v>704</v>
      </c>
      <c r="B37" s="149">
        <v>44186</v>
      </c>
      <c r="C37" s="149">
        <v>44214</v>
      </c>
    </row>
    <row r="38" spans="1:3" x14ac:dyDescent="0.25">
      <c r="A38" t="s">
        <v>700</v>
      </c>
      <c r="B38" s="149">
        <v>44274</v>
      </c>
      <c r="C38" s="149"/>
    </row>
    <row r="39" spans="1:3" x14ac:dyDescent="0.25">
      <c r="A39" t="s">
        <v>701</v>
      </c>
      <c r="B39" s="149">
        <v>44365</v>
      </c>
      <c r="C39" s="149"/>
    </row>
    <row r="40" spans="1:3" x14ac:dyDescent="0.25">
      <c r="A40" t="s">
        <v>702</v>
      </c>
      <c r="B40" s="149">
        <v>44456</v>
      </c>
      <c r="C40" s="149"/>
    </row>
    <row r="41" spans="1:3" x14ac:dyDescent="0.25">
      <c r="A41" t="s">
        <v>703</v>
      </c>
      <c r="B41" s="149">
        <v>44547</v>
      </c>
      <c r="C41" s="149">
        <v>44582</v>
      </c>
    </row>
    <row r="43" spans="1:3" x14ac:dyDescent="0.25">
      <c r="A43">
        <v>2020</v>
      </c>
      <c r="B43" t="s">
        <v>698</v>
      </c>
      <c r="C43" t="s">
        <v>699</v>
      </c>
    </row>
    <row r="44" spans="1:3" x14ac:dyDescent="0.25">
      <c r="A44" t="s">
        <v>704</v>
      </c>
      <c r="B44" s="149">
        <v>44183</v>
      </c>
      <c r="C44" s="149">
        <v>43850</v>
      </c>
    </row>
    <row r="45" spans="1:3" x14ac:dyDescent="0.25">
      <c r="A45" t="s">
        <v>700</v>
      </c>
      <c r="B45" s="149">
        <v>43910</v>
      </c>
    </row>
    <row r="46" spans="1:3" x14ac:dyDescent="0.25">
      <c r="A46" t="s">
        <v>701</v>
      </c>
      <c r="B46" s="149">
        <v>44001</v>
      </c>
    </row>
    <row r="47" spans="1:3" x14ac:dyDescent="0.25">
      <c r="A47" t="s">
        <v>702</v>
      </c>
      <c r="B47" s="149">
        <v>44092</v>
      </c>
    </row>
    <row r="48" spans="1:3" x14ac:dyDescent="0.25">
      <c r="A48" t="s">
        <v>703</v>
      </c>
      <c r="B48" s="149">
        <v>44183</v>
      </c>
      <c r="C48" s="149">
        <v>44211</v>
      </c>
    </row>
  </sheetData>
  <mergeCells count="3">
    <mergeCell ref="L15:Z15"/>
    <mergeCell ref="L8:Z8"/>
    <mergeCell ref="L1:Z1"/>
  </mergeCells>
  <phoneticPr fontId="28" type="noConversion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3"/>
  <dimension ref="A1:Q301"/>
  <sheetViews>
    <sheetView showGridLines="0" zoomScale="85" zoomScaleNormal="85" workbookViewId="0">
      <selection activeCell="P22" sqref="P22"/>
    </sheetView>
  </sheetViews>
  <sheetFormatPr defaultColWidth="0" defaultRowHeight="15" x14ac:dyDescent="0.25"/>
  <cols>
    <col min="1" max="1" width="3" customWidth="1"/>
    <col min="2" max="2" width="40.5703125" bestFit="1" customWidth="1"/>
    <col min="3" max="3" width="13.7109375" bestFit="1" customWidth="1"/>
    <col min="4" max="4" width="15.5703125" bestFit="1" customWidth="1"/>
    <col min="5" max="5" width="9.28515625" customWidth="1"/>
    <col min="6" max="6" width="9.7109375" customWidth="1"/>
    <col min="7" max="7" width="9.28515625" customWidth="1"/>
    <col min="8" max="8" width="9.7109375" customWidth="1"/>
    <col min="9" max="9" width="9.28515625" customWidth="1"/>
    <col min="10" max="10" width="9.5703125" bestFit="1" customWidth="1"/>
    <col min="11" max="11" width="9.28515625" customWidth="1"/>
    <col min="12" max="12" width="10" customWidth="1"/>
    <col min="13" max="13" width="9.28515625" customWidth="1"/>
    <col min="14" max="14" width="10" customWidth="1"/>
    <col min="15" max="15" width="9.28515625" customWidth="1"/>
    <col min="16" max="16" width="10.28515625" bestFit="1" customWidth="1"/>
    <col min="17" max="17" width="3" customWidth="1"/>
    <col min="18" max="16384" width="9.28515625" hidden="1"/>
  </cols>
  <sheetData>
    <row r="1" spans="2:16" x14ac:dyDescent="0.25"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2:16" x14ac:dyDescent="0.25"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x14ac:dyDescent="0.25"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2:16" x14ac:dyDescent="0.25"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x14ac:dyDescent="0.25"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x14ac:dyDescent="0.25"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x14ac:dyDescent="0.25"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49.5" customHeight="1" x14ac:dyDescent="0.25"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spans="2:16" ht="15" customHeight="1" x14ac:dyDescent="0.25">
      <c r="H9" t="s">
        <v>624</v>
      </c>
      <c r="L9" s="182" t="s">
        <v>0</v>
      </c>
      <c r="M9" s="182"/>
      <c r="N9" s="1"/>
      <c r="O9" s="2" t="s">
        <v>1</v>
      </c>
      <c r="P9" s="3">
        <v>43847</v>
      </c>
    </row>
    <row r="10" spans="2:16" ht="3.75" customHeight="1" x14ac:dyDescent="0.25">
      <c r="F10" s="1"/>
      <c r="G10" s="1"/>
      <c r="H10" s="1"/>
      <c r="I10" s="1"/>
      <c r="J10" s="1"/>
      <c r="K10" s="1"/>
      <c r="L10" s="1"/>
      <c r="M10" s="1"/>
      <c r="N10" s="1"/>
      <c r="O10" s="2"/>
      <c r="P10" s="3"/>
    </row>
    <row r="11" spans="2:16" ht="34.5" customHeight="1" x14ac:dyDescent="0.25">
      <c r="B11" s="4" t="s">
        <v>2</v>
      </c>
      <c r="C11" s="5"/>
      <c r="D11" s="5"/>
      <c r="E11" s="5"/>
      <c r="F11" s="183" t="s">
        <v>639</v>
      </c>
      <c r="G11" s="183"/>
      <c r="H11" s="183"/>
      <c r="I11" s="183"/>
      <c r="J11" s="183"/>
      <c r="K11" s="183"/>
      <c r="L11" s="183"/>
      <c r="M11" s="183"/>
      <c r="N11" s="183"/>
      <c r="O11" s="183"/>
      <c r="P11" s="6"/>
    </row>
    <row r="12" spans="2:16" x14ac:dyDescent="0.25">
      <c r="B12" s="7" t="s">
        <v>4</v>
      </c>
      <c r="C12" s="7" t="s">
        <v>5</v>
      </c>
      <c r="D12" s="7" t="s">
        <v>6</v>
      </c>
      <c r="E12" s="7" t="s">
        <v>7</v>
      </c>
      <c r="F12" s="8" t="s">
        <v>8</v>
      </c>
      <c r="G12" s="8"/>
      <c r="H12" s="8" t="s">
        <v>9</v>
      </c>
      <c r="I12" s="8"/>
      <c r="J12" s="8" t="s">
        <v>10</v>
      </c>
      <c r="K12" s="8"/>
      <c r="L12" s="8" t="s">
        <v>11</v>
      </c>
      <c r="M12" s="8"/>
      <c r="N12" s="8" t="s">
        <v>605</v>
      </c>
      <c r="O12" s="8"/>
      <c r="P12" s="8" t="s">
        <v>12</v>
      </c>
    </row>
    <row r="13" spans="2:16" ht="5.25" customHeight="1" x14ac:dyDescent="0.25">
      <c r="B13" s="9"/>
      <c r="C13" s="9"/>
      <c r="D13" s="9"/>
      <c r="E13" s="10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</row>
    <row r="14" spans="2:16" x14ac:dyDescent="0.25">
      <c r="B14" s="19" t="s">
        <v>557</v>
      </c>
      <c r="C14" s="20" t="s">
        <v>584</v>
      </c>
      <c r="D14" s="21" t="s">
        <v>55</v>
      </c>
      <c r="E14" s="22" t="s">
        <v>56</v>
      </c>
      <c r="F14" s="23">
        <v>43510</v>
      </c>
      <c r="G14" s="24">
        <v>1.44</v>
      </c>
      <c r="H14" s="23">
        <v>43608</v>
      </c>
      <c r="I14" s="24">
        <v>1.44</v>
      </c>
      <c r="J14" s="23">
        <v>43692</v>
      </c>
      <c r="K14" s="24">
        <v>1.44</v>
      </c>
      <c r="L14" s="23">
        <v>43790</v>
      </c>
      <c r="M14" s="77">
        <v>1.44</v>
      </c>
      <c r="N14" s="25"/>
      <c r="O14" s="24"/>
      <c r="P14" s="26">
        <f t="shared" ref="P14:P75" si="0">G14+I14+K14+M14+O14</f>
        <v>5.76</v>
      </c>
    </row>
    <row r="15" spans="2:16" x14ac:dyDescent="0.25">
      <c r="B15" s="12" t="s">
        <v>13</v>
      </c>
      <c r="C15" s="13" t="s">
        <v>14</v>
      </c>
      <c r="D15" s="14" t="s">
        <v>15</v>
      </c>
      <c r="E15" s="14" t="s">
        <v>16</v>
      </c>
      <c r="F15" s="15">
        <v>43605</v>
      </c>
      <c r="G15" s="16">
        <v>7.0000000000000007E-2</v>
      </c>
      <c r="H15" s="15"/>
      <c r="I15" s="16"/>
      <c r="J15" s="15"/>
      <c r="K15" s="16"/>
      <c r="L15" s="15"/>
      <c r="M15" s="63"/>
      <c r="N15" s="17"/>
      <c r="O15" s="16"/>
      <c r="P15" s="18">
        <f t="shared" si="0"/>
        <v>7.0000000000000007E-2</v>
      </c>
    </row>
    <row r="16" spans="2:16" x14ac:dyDescent="0.25">
      <c r="B16" s="12" t="s">
        <v>684</v>
      </c>
      <c r="C16" s="13" t="s">
        <v>18</v>
      </c>
      <c r="D16" s="14" t="s">
        <v>15</v>
      </c>
      <c r="E16" s="14" t="s">
        <v>16</v>
      </c>
      <c r="F16" s="15">
        <v>43578</v>
      </c>
      <c r="G16" s="16">
        <v>0.75</v>
      </c>
      <c r="H16" s="15"/>
      <c r="I16" s="16"/>
      <c r="J16" s="15"/>
      <c r="K16" s="16"/>
      <c r="L16" s="15"/>
      <c r="M16" s="63"/>
      <c r="N16" s="17"/>
      <c r="O16" s="16"/>
      <c r="P16" s="18">
        <f t="shared" si="0"/>
        <v>0.75</v>
      </c>
    </row>
    <row r="17" spans="2:16" x14ac:dyDescent="0.25">
      <c r="B17" s="12" t="s">
        <v>19</v>
      </c>
      <c r="C17" s="13" t="s">
        <v>20</v>
      </c>
      <c r="D17" s="14" t="s">
        <v>15</v>
      </c>
      <c r="E17" s="14" t="s">
        <v>21</v>
      </c>
      <c r="F17" s="15">
        <v>43591</v>
      </c>
      <c r="G17" s="16">
        <v>0.8</v>
      </c>
      <c r="H17" s="15"/>
      <c r="I17" s="16"/>
      <c r="J17" s="15"/>
      <c r="K17" s="16"/>
      <c r="L17" s="15"/>
      <c r="M17" s="63"/>
      <c r="N17" s="17"/>
      <c r="O17" s="16"/>
      <c r="P17" s="18">
        <f t="shared" si="0"/>
        <v>0.8</v>
      </c>
    </row>
    <row r="18" spans="2:16" x14ac:dyDescent="0.25">
      <c r="B18" s="19" t="s">
        <v>563</v>
      </c>
      <c r="C18" s="20" t="s">
        <v>590</v>
      </c>
      <c r="D18" s="21" t="s">
        <v>55</v>
      </c>
      <c r="E18" s="22" t="s">
        <v>56</v>
      </c>
      <c r="F18" s="23">
        <v>43567</v>
      </c>
      <c r="G18" s="24">
        <v>1.07</v>
      </c>
      <c r="H18" s="23">
        <v>43658</v>
      </c>
      <c r="I18" s="24">
        <v>1.07</v>
      </c>
      <c r="J18" s="23">
        <v>43749</v>
      </c>
      <c r="K18" s="24">
        <v>1.07</v>
      </c>
      <c r="L18" s="23">
        <v>43844</v>
      </c>
      <c r="M18" s="77">
        <v>1.18</v>
      </c>
      <c r="N18" s="25"/>
      <c r="O18" s="24"/>
      <c r="P18" s="26">
        <f t="shared" si="0"/>
        <v>4.3899999999999997</v>
      </c>
    </row>
    <row r="19" spans="2:16" x14ac:dyDescent="0.25">
      <c r="B19" s="12" t="s">
        <v>22</v>
      </c>
      <c r="C19" s="13" t="s">
        <v>23</v>
      </c>
      <c r="D19" s="14" t="s">
        <v>24</v>
      </c>
      <c r="E19" s="14" t="s">
        <v>16</v>
      </c>
      <c r="F19" s="15">
        <v>43595</v>
      </c>
      <c r="G19" s="16">
        <v>1.05</v>
      </c>
      <c r="H19" s="15"/>
      <c r="I19" s="16"/>
      <c r="J19" s="15"/>
      <c r="K19" s="16"/>
      <c r="L19" s="15"/>
      <c r="M19" s="63"/>
      <c r="N19" s="17"/>
      <c r="O19" s="16"/>
      <c r="P19" s="18">
        <f t="shared" si="0"/>
        <v>1.05</v>
      </c>
    </row>
    <row r="20" spans="2:16" x14ac:dyDescent="0.25">
      <c r="B20" s="12" t="s">
        <v>25</v>
      </c>
      <c r="C20" s="13" t="s">
        <v>26</v>
      </c>
      <c r="D20" s="14" t="s">
        <v>27</v>
      </c>
      <c r="E20" s="14" t="s">
        <v>16</v>
      </c>
      <c r="F20" s="15">
        <v>43619</v>
      </c>
      <c r="G20" s="16">
        <v>2.3199999999999998</v>
      </c>
      <c r="H20" s="15"/>
      <c r="I20" s="16"/>
      <c r="J20" s="15"/>
      <c r="K20" s="16"/>
      <c r="L20" s="15"/>
      <c r="M20" s="63"/>
      <c r="N20" s="17"/>
      <c r="O20" s="16"/>
      <c r="P20" s="18">
        <f t="shared" si="0"/>
        <v>2.3199999999999998</v>
      </c>
    </row>
    <row r="21" spans="2:16" x14ac:dyDescent="0.25">
      <c r="B21" s="12" t="s">
        <v>28</v>
      </c>
      <c r="C21" s="13" t="s">
        <v>29</v>
      </c>
      <c r="D21" s="14" t="s">
        <v>15</v>
      </c>
      <c r="E21" s="14" t="s">
        <v>21</v>
      </c>
      <c r="F21" s="15">
        <v>43578</v>
      </c>
      <c r="G21" s="16">
        <v>2.5</v>
      </c>
      <c r="H21" s="15"/>
      <c r="I21" s="16"/>
      <c r="J21" s="15"/>
      <c r="K21" s="16"/>
      <c r="L21" s="15"/>
      <c r="M21" s="63"/>
      <c r="N21" s="17"/>
      <c r="O21" s="16"/>
      <c r="P21" s="18">
        <f t="shared" si="0"/>
        <v>2.5</v>
      </c>
    </row>
    <row r="22" spans="2:16" x14ac:dyDescent="0.25">
      <c r="B22" s="12" t="s">
        <v>30</v>
      </c>
      <c r="C22" s="13" t="s">
        <v>31</v>
      </c>
      <c r="D22" s="14" t="s">
        <v>15</v>
      </c>
      <c r="E22" s="14" t="s">
        <v>16</v>
      </c>
      <c r="F22" s="15">
        <v>43594</v>
      </c>
      <c r="G22" s="16">
        <v>3.35</v>
      </c>
      <c r="H22" s="15"/>
      <c r="I22" s="16"/>
      <c r="J22" s="15"/>
      <c r="K22" s="16"/>
      <c r="L22" s="15"/>
      <c r="M22" s="63"/>
      <c r="N22" s="17"/>
      <c r="O22" s="16"/>
      <c r="P22" s="18">
        <f t="shared" si="0"/>
        <v>3.35</v>
      </c>
    </row>
    <row r="23" spans="2:16" x14ac:dyDescent="0.25">
      <c r="B23" s="12" t="s">
        <v>32</v>
      </c>
      <c r="C23" s="13" t="s">
        <v>33</v>
      </c>
      <c r="D23" s="14" t="s">
        <v>15</v>
      </c>
      <c r="E23" s="14" t="s">
        <v>16</v>
      </c>
      <c r="F23" s="15">
        <v>43606</v>
      </c>
      <c r="G23" s="16">
        <v>0.15</v>
      </c>
      <c r="H23" s="15">
        <v>43700</v>
      </c>
      <c r="I23" s="16">
        <v>0.15</v>
      </c>
      <c r="J23" s="15"/>
      <c r="K23" s="16"/>
      <c r="L23" s="15"/>
      <c r="M23" s="63"/>
      <c r="N23" s="17"/>
      <c r="O23" s="16"/>
      <c r="P23" s="18">
        <f t="shared" si="0"/>
        <v>0.3</v>
      </c>
    </row>
    <row r="24" spans="2:16" x14ac:dyDescent="0.25">
      <c r="B24" s="12" t="s">
        <v>630</v>
      </c>
      <c r="C24" s="13" t="s">
        <v>625</v>
      </c>
      <c r="D24" s="14" t="s">
        <v>15</v>
      </c>
      <c r="E24" s="14" t="s">
        <v>16</v>
      </c>
      <c r="F24" s="15">
        <v>43572</v>
      </c>
      <c r="G24" s="16">
        <v>6.93</v>
      </c>
      <c r="H24" s="15"/>
      <c r="I24" s="16"/>
      <c r="J24" s="15"/>
      <c r="K24" s="16"/>
      <c r="L24" s="15"/>
      <c r="M24" s="63"/>
      <c r="N24" s="17"/>
      <c r="O24" s="16"/>
      <c r="P24" s="18">
        <f t="shared" si="0"/>
        <v>6.93</v>
      </c>
    </row>
    <row r="25" spans="2:16" x14ac:dyDescent="0.25">
      <c r="B25" s="12" t="s">
        <v>34</v>
      </c>
      <c r="C25" s="13" t="s">
        <v>35</v>
      </c>
      <c r="D25" s="14" t="s">
        <v>27</v>
      </c>
      <c r="E25" s="14" t="s">
        <v>16</v>
      </c>
      <c r="F25" s="15">
        <v>43612</v>
      </c>
      <c r="G25" s="16">
        <v>2.2000000000000002</v>
      </c>
      <c r="H25" s="15"/>
      <c r="I25" s="16"/>
      <c r="J25" s="15"/>
      <c r="K25" s="16"/>
      <c r="L25" s="15"/>
      <c r="M25" s="63"/>
      <c r="N25" s="17"/>
      <c r="O25" s="16"/>
      <c r="P25" s="18">
        <f t="shared" si="0"/>
        <v>2.2000000000000002</v>
      </c>
    </row>
    <row r="26" spans="2:16" x14ac:dyDescent="0.25">
      <c r="B26" s="12" t="s">
        <v>36</v>
      </c>
      <c r="C26" s="13" t="s">
        <v>37</v>
      </c>
      <c r="D26" s="14" t="s">
        <v>15</v>
      </c>
      <c r="E26" s="14" t="s">
        <v>16</v>
      </c>
      <c r="F26" s="15">
        <v>43567</v>
      </c>
      <c r="G26" s="16">
        <v>0.7</v>
      </c>
      <c r="H26" s="15">
        <v>43717</v>
      </c>
      <c r="I26" s="16">
        <v>0.3</v>
      </c>
      <c r="J26" s="15"/>
      <c r="K26" s="16"/>
      <c r="L26" s="15"/>
      <c r="M26" s="63"/>
      <c r="N26" s="17"/>
      <c r="O26" s="16"/>
      <c r="P26" s="18">
        <f t="shared" si="0"/>
        <v>1</v>
      </c>
    </row>
    <row r="27" spans="2:16" x14ac:dyDescent="0.25">
      <c r="B27" s="12" t="s">
        <v>41</v>
      </c>
      <c r="C27" s="13" t="s">
        <v>42</v>
      </c>
      <c r="D27" s="14" t="s">
        <v>24</v>
      </c>
      <c r="E27" s="14" t="s">
        <v>16</v>
      </c>
      <c r="F27" s="29">
        <v>43605</v>
      </c>
      <c r="G27" s="71">
        <f>2.65*0.90909091</f>
        <v>2.4090909114999999</v>
      </c>
      <c r="H27" s="15"/>
      <c r="I27" s="16"/>
      <c r="J27" s="15"/>
      <c r="K27" s="16"/>
      <c r="L27" s="15"/>
      <c r="M27" s="63"/>
      <c r="N27" s="17"/>
      <c r="O27" s="16"/>
      <c r="P27" s="18">
        <f t="shared" si="0"/>
        <v>2.4090909114999999</v>
      </c>
    </row>
    <row r="28" spans="2:16" x14ac:dyDescent="0.25">
      <c r="B28" s="12" t="s">
        <v>43</v>
      </c>
      <c r="C28" s="13" t="s">
        <v>44</v>
      </c>
      <c r="D28" s="14" t="s">
        <v>24</v>
      </c>
      <c r="E28" s="14" t="s">
        <v>16</v>
      </c>
      <c r="F28" s="15">
        <v>43570</v>
      </c>
      <c r="G28" s="16">
        <v>1.65</v>
      </c>
      <c r="H28" s="15"/>
      <c r="I28" s="16"/>
      <c r="J28" s="15"/>
      <c r="K28" s="16"/>
      <c r="L28" s="15"/>
      <c r="M28" s="63"/>
      <c r="N28" s="17"/>
      <c r="O28" s="16"/>
      <c r="P28" s="18">
        <f t="shared" si="0"/>
        <v>1.65</v>
      </c>
    </row>
    <row r="29" spans="2:16" x14ac:dyDescent="0.25">
      <c r="B29" s="12" t="s">
        <v>45</v>
      </c>
      <c r="C29" s="13" t="s">
        <v>46</v>
      </c>
      <c r="D29" s="14" t="s">
        <v>15</v>
      </c>
      <c r="E29" s="14" t="s">
        <v>16</v>
      </c>
      <c r="F29" s="15"/>
      <c r="G29" s="16"/>
      <c r="H29" s="15"/>
      <c r="I29" s="16"/>
      <c r="J29" s="15"/>
      <c r="K29" s="16"/>
      <c r="L29" s="15"/>
      <c r="M29" s="63"/>
      <c r="N29" s="17"/>
      <c r="O29" s="16"/>
      <c r="P29" s="18">
        <f t="shared" si="0"/>
        <v>0</v>
      </c>
    </row>
    <row r="30" spans="2:16" x14ac:dyDescent="0.25">
      <c r="B30" s="12" t="s">
        <v>47</v>
      </c>
      <c r="C30" s="13" t="s">
        <v>48</v>
      </c>
      <c r="D30" s="14" t="s">
        <v>15</v>
      </c>
      <c r="E30" s="14" t="s">
        <v>16</v>
      </c>
      <c r="F30" s="15">
        <v>43594</v>
      </c>
      <c r="G30" s="16">
        <v>9</v>
      </c>
      <c r="H30" s="15"/>
      <c r="I30" s="16"/>
      <c r="J30" s="15"/>
      <c r="K30" s="16"/>
      <c r="L30" s="15"/>
      <c r="M30" s="63"/>
      <c r="N30" s="17"/>
      <c r="O30" s="16"/>
      <c r="P30" s="18">
        <f t="shared" si="0"/>
        <v>9</v>
      </c>
    </row>
    <row r="31" spans="2:16" x14ac:dyDescent="0.25">
      <c r="B31" s="12" t="s">
        <v>49</v>
      </c>
      <c r="C31" s="13" t="s">
        <v>50</v>
      </c>
      <c r="D31" s="14" t="s">
        <v>24</v>
      </c>
      <c r="E31" s="14" t="s">
        <v>16</v>
      </c>
      <c r="F31" s="15"/>
      <c r="G31" s="16"/>
      <c r="H31" s="15"/>
      <c r="I31" s="16"/>
      <c r="J31" s="15"/>
      <c r="K31" s="16"/>
      <c r="L31" s="15"/>
      <c r="M31" s="63"/>
      <c r="N31" s="17"/>
      <c r="O31" s="16"/>
      <c r="P31" s="18">
        <f t="shared" si="0"/>
        <v>0</v>
      </c>
    </row>
    <row r="32" spans="2:16" x14ac:dyDescent="0.25">
      <c r="B32" s="19" t="s">
        <v>554</v>
      </c>
      <c r="C32" s="20" t="s">
        <v>581</v>
      </c>
      <c r="D32" s="21" t="s">
        <v>55</v>
      </c>
      <c r="E32" s="22" t="s">
        <v>56</v>
      </c>
      <c r="F32" s="23">
        <v>43546</v>
      </c>
      <c r="G32" s="24">
        <v>0.8</v>
      </c>
      <c r="H32" s="23">
        <v>43629</v>
      </c>
      <c r="I32" s="24">
        <v>0.8</v>
      </c>
      <c r="J32" s="23">
        <v>43721</v>
      </c>
      <c r="K32" s="24">
        <v>0.84</v>
      </c>
      <c r="L32" s="23">
        <v>43823</v>
      </c>
      <c r="M32" s="77">
        <v>0.84</v>
      </c>
      <c r="N32" s="25"/>
      <c r="O32" s="24"/>
      <c r="P32" s="26">
        <f t="shared" si="0"/>
        <v>3.28</v>
      </c>
    </row>
    <row r="33" spans="2:16" x14ac:dyDescent="0.25">
      <c r="B33" s="12" t="s">
        <v>51</v>
      </c>
      <c r="C33" s="13" t="s">
        <v>52</v>
      </c>
      <c r="D33" s="14" t="s">
        <v>15</v>
      </c>
      <c r="E33" s="14" t="s">
        <v>16</v>
      </c>
      <c r="F33" s="15">
        <v>43480</v>
      </c>
      <c r="G33" s="16">
        <v>0.51</v>
      </c>
      <c r="H33" s="15">
        <v>43656</v>
      </c>
      <c r="I33" s="16">
        <v>0.66500000000000004</v>
      </c>
      <c r="J33" s="15"/>
      <c r="K33" s="16"/>
      <c r="L33" s="15"/>
      <c r="M33" s="63"/>
      <c r="N33" s="17"/>
      <c r="O33" s="16"/>
      <c r="P33" s="18">
        <f t="shared" si="0"/>
        <v>1.175</v>
      </c>
    </row>
    <row r="34" spans="2:16" x14ac:dyDescent="0.25">
      <c r="B34" s="19" t="s">
        <v>53</v>
      </c>
      <c r="C34" s="20" t="s">
        <v>54</v>
      </c>
      <c r="D34" s="21" t="s">
        <v>55</v>
      </c>
      <c r="E34" s="22" t="s">
        <v>56</v>
      </c>
      <c r="F34" s="23"/>
      <c r="G34" s="24"/>
      <c r="H34" s="23"/>
      <c r="I34" s="24"/>
      <c r="J34" s="23"/>
      <c r="K34" s="24"/>
      <c r="L34" s="23"/>
      <c r="M34" s="77"/>
      <c r="N34" s="25"/>
      <c r="O34" s="24"/>
      <c r="P34" s="26">
        <f t="shared" si="0"/>
        <v>0</v>
      </c>
    </row>
    <row r="35" spans="2:16" x14ac:dyDescent="0.25">
      <c r="B35" s="19" t="s">
        <v>556</v>
      </c>
      <c r="C35" s="20" t="s">
        <v>583</v>
      </c>
      <c r="D35" s="21" t="s">
        <v>55</v>
      </c>
      <c r="E35" s="22" t="s">
        <v>56</v>
      </c>
      <c r="F35" s="23">
        <v>43510</v>
      </c>
      <c r="G35" s="24">
        <v>1.45</v>
      </c>
      <c r="H35" s="23">
        <v>43601</v>
      </c>
      <c r="I35" s="24">
        <v>1.45</v>
      </c>
      <c r="J35" s="23">
        <v>43691</v>
      </c>
      <c r="K35" s="24">
        <v>1.45</v>
      </c>
      <c r="L35" s="23">
        <v>43783</v>
      </c>
      <c r="M35" s="77">
        <v>1.45</v>
      </c>
      <c r="N35" s="25"/>
      <c r="O35" s="24"/>
      <c r="P35" s="26">
        <f t="shared" si="0"/>
        <v>5.8</v>
      </c>
    </row>
    <row r="36" spans="2:16" x14ac:dyDescent="0.25">
      <c r="B36" s="12" t="s">
        <v>57</v>
      </c>
      <c r="C36" s="13" t="s">
        <v>58</v>
      </c>
      <c r="D36" s="14" t="s">
        <v>15</v>
      </c>
      <c r="E36" s="14" t="s">
        <v>56</v>
      </c>
      <c r="F36" s="15">
        <v>43538</v>
      </c>
      <c r="G36" s="16">
        <v>0.51</v>
      </c>
      <c r="H36" s="15">
        <v>43692</v>
      </c>
      <c r="I36" s="16">
        <v>0.62</v>
      </c>
      <c r="J36" s="15"/>
      <c r="K36" s="16"/>
      <c r="L36" s="15"/>
      <c r="M36" s="63"/>
      <c r="N36" s="17"/>
      <c r="O36" s="16"/>
      <c r="P36" s="18">
        <f t="shared" si="0"/>
        <v>1.1299999999999999</v>
      </c>
    </row>
    <row r="37" spans="2:16" x14ac:dyDescent="0.25">
      <c r="B37" s="12" t="s">
        <v>59</v>
      </c>
      <c r="C37" s="13" t="s">
        <v>60</v>
      </c>
      <c r="D37" s="14" t="s">
        <v>27</v>
      </c>
      <c r="E37" s="14" t="s">
        <v>16</v>
      </c>
      <c r="F37" s="15">
        <v>43592</v>
      </c>
      <c r="G37" s="16">
        <v>1</v>
      </c>
      <c r="H37" s="15">
        <v>43788</v>
      </c>
      <c r="I37" s="16">
        <v>0.8</v>
      </c>
      <c r="J37" s="15"/>
      <c r="K37" s="16"/>
      <c r="L37" s="15"/>
      <c r="M37" s="63"/>
      <c r="N37" s="17"/>
      <c r="O37" s="16"/>
      <c r="P37" s="18">
        <f t="shared" si="0"/>
        <v>1.8</v>
      </c>
    </row>
    <row r="38" spans="2:16" x14ac:dyDescent="0.25">
      <c r="B38" s="19" t="s">
        <v>61</v>
      </c>
      <c r="C38" s="20" t="s">
        <v>62</v>
      </c>
      <c r="D38" s="21" t="s">
        <v>55</v>
      </c>
      <c r="E38" s="22" t="s">
        <v>56</v>
      </c>
      <c r="F38" s="23">
        <v>43504</v>
      </c>
      <c r="G38" s="24">
        <v>0.73</v>
      </c>
      <c r="H38" s="23">
        <v>43595</v>
      </c>
      <c r="I38" s="24">
        <v>0.77</v>
      </c>
      <c r="J38" s="23">
        <v>43717</v>
      </c>
      <c r="K38" s="24">
        <v>0.77</v>
      </c>
      <c r="L38" s="23">
        <v>43776</v>
      </c>
      <c r="M38" s="24">
        <v>0.77</v>
      </c>
      <c r="N38" s="25"/>
      <c r="O38" s="24"/>
      <c r="P38" s="26">
        <f t="shared" si="0"/>
        <v>3.04</v>
      </c>
    </row>
    <row r="39" spans="2:16" x14ac:dyDescent="0.25">
      <c r="B39" s="12" t="s">
        <v>63</v>
      </c>
      <c r="C39" s="13" t="s">
        <v>64</v>
      </c>
      <c r="D39" s="14" t="s">
        <v>15</v>
      </c>
      <c r="E39" s="14" t="s">
        <v>16</v>
      </c>
      <c r="F39" s="15">
        <v>43601</v>
      </c>
      <c r="G39" s="27">
        <v>0.17879999999999999</v>
      </c>
      <c r="H39" s="15"/>
      <c r="I39" s="27"/>
      <c r="J39" s="15"/>
      <c r="K39" s="16"/>
      <c r="L39" s="15"/>
      <c r="M39" s="63"/>
      <c r="N39" s="17"/>
      <c r="O39" s="16"/>
      <c r="P39" s="18">
        <f t="shared" si="0"/>
        <v>0.17879999999999999</v>
      </c>
    </row>
    <row r="40" spans="2:16" x14ac:dyDescent="0.25">
      <c r="B40" s="12" t="s">
        <v>65</v>
      </c>
      <c r="C40" s="13" t="s">
        <v>66</v>
      </c>
      <c r="D40" s="14" t="s">
        <v>15</v>
      </c>
      <c r="E40" s="14" t="s">
        <v>16</v>
      </c>
      <c r="F40" s="15">
        <v>43581</v>
      </c>
      <c r="G40" s="16">
        <v>2.1</v>
      </c>
      <c r="H40" s="15">
        <v>43773</v>
      </c>
      <c r="I40" s="16">
        <v>1.05</v>
      </c>
      <c r="J40" s="15"/>
      <c r="K40" s="16"/>
      <c r="L40" s="15"/>
      <c r="M40" s="63"/>
      <c r="N40" s="17"/>
      <c r="O40" s="16"/>
      <c r="P40" s="18">
        <f t="shared" si="0"/>
        <v>3.1500000000000004</v>
      </c>
    </row>
    <row r="41" spans="2:16" x14ac:dyDescent="0.25">
      <c r="B41" s="12" t="s">
        <v>67</v>
      </c>
      <c r="C41" s="13" t="s">
        <v>68</v>
      </c>
      <c r="D41" s="14" t="s">
        <v>15</v>
      </c>
      <c r="E41" s="14" t="s">
        <v>16</v>
      </c>
      <c r="F41" s="15">
        <v>43605</v>
      </c>
      <c r="G41" s="16">
        <v>0.9</v>
      </c>
      <c r="H41" s="15"/>
      <c r="I41" s="16"/>
      <c r="J41" s="15"/>
      <c r="K41" s="16"/>
      <c r="L41" s="15"/>
      <c r="M41" s="63"/>
      <c r="N41" s="17"/>
      <c r="O41" s="16"/>
      <c r="P41" s="18">
        <f t="shared" si="0"/>
        <v>0.9</v>
      </c>
    </row>
    <row r="42" spans="2:16" x14ac:dyDescent="0.25">
      <c r="B42" s="12" t="s">
        <v>69</v>
      </c>
      <c r="C42" s="13" t="s">
        <v>70</v>
      </c>
      <c r="D42" s="14" t="s">
        <v>15</v>
      </c>
      <c r="E42" s="14" t="s">
        <v>56</v>
      </c>
      <c r="F42" s="15">
        <v>43524</v>
      </c>
      <c r="G42" s="28">
        <v>1.9</v>
      </c>
      <c r="H42" s="15">
        <v>43685</v>
      </c>
      <c r="I42" s="16">
        <v>0.9</v>
      </c>
      <c r="J42" s="15"/>
      <c r="K42" s="16"/>
      <c r="L42" s="15"/>
      <c r="M42" s="63"/>
      <c r="N42" s="17"/>
      <c r="O42" s="16"/>
      <c r="P42" s="18">
        <f t="shared" si="0"/>
        <v>2.8</v>
      </c>
    </row>
    <row r="43" spans="2:16" x14ac:dyDescent="0.25">
      <c r="B43" s="19" t="s">
        <v>71</v>
      </c>
      <c r="C43" s="20" t="s">
        <v>72</v>
      </c>
      <c r="D43" s="21" t="s">
        <v>55</v>
      </c>
      <c r="E43" s="22" t="s">
        <v>56</v>
      </c>
      <c r="F43" s="23">
        <v>43199</v>
      </c>
      <c r="G43" s="24">
        <v>0.51</v>
      </c>
      <c r="H43" s="23">
        <v>43655</v>
      </c>
      <c r="I43" s="24">
        <v>0.51</v>
      </c>
      <c r="J43" s="23">
        <v>43747</v>
      </c>
      <c r="K43" s="24">
        <v>0.51</v>
      </c>
      <c r="L43" s="23">
        <v>43839</v>
      </c>
      <c r="M43" s="77">
        <v>0.52</v>
      </c>
      <c r="N43" s="25"/>
      <c r="O43" s="24"/>
      <c r="P43" s="26">
        <f t="shared" si="0"/>
        <v>2.0499999999999998</v>
      </c>
    </row>
    <row r="44" spans="2:16" x14ac:dyDescent="0.25">
      <c r="B44" s="12" t="s">
        <v>73</v>
      </c>
      <c r="C44" s="13" t="s">
        <v>74</v>
      </c>
      <c r="D44" s="14" t="s">
        <v>15</v>
      </c>
      <c r="E44" s="14" t="s">
        <v>16</v>
      </c>
      <c r="F44" s="15">
        <v>43605</v>
      </c>
      <c r="G44" s="16">
        <v>0.9</v>
      </c>
      <c r="H44" s="15"/>
      <c r="I44" s="16"/>
      <c r="J44" s="15"/>
      <c r="K44" s="16"/>
      <c r="L44" s="15"/>
      <c r="M44" s="63"/>
      <c r="N44" s="17"/>
      <c r="O44" s="16"/>
      <c r="P44" s="18">
        <f t="shared" si="0"/>
        <v>0.9</v>
      </c>
    </row>
    <row r="45" spans="2:16" x14ac:dyDescent="0.25">
      <c r="B45" s="12" t="s">
        <v>75</v>
      </c>
      <c r="C45" s="13" t="s">
        <v>76</v>
      </c>
      <c r="D45" s="14" t="s">
        <v>15</v>
      </c>
      <c r="E45" s="14" t="s">
        <v>77</v>
      </c>
      <c r="F45" s="15">
        <v>43566</v>
      </c>
      <c r="G45" s="16">
        <v>20.75</v>
      </c>
      <c r="H45" s="15">
        <v>43692</v>
      </c>
      <c r="I45" s="16">
        <v>9.5</v>
      </c>
      <c r="J45" s="15"/>
      <c r="K45" s="16"/>
      <c r="L45" s="15"/>
      <c r="M45" s="63"/>
      <c r="N45" s="17"/>
      <c r="O45" s="16"/>
      <c r="P45" s="18">
        <f t="shared" si="0"/>
        <v>30.25</v>
      </c>
    </row>
    <row r="46" spans="2:16" x14ac:dyDescent="0.25">
      <c r="B46" s="12" t="s">
        <v>78</v>
      </c>
      <c r="C46" s="13" t="s">
        <v>79</v>
      </c>
      <c r="D46" s="14" t="s">
        <v>24</v>
      </c>
      <c r="E46" s="14" t="s">
        <v>16</v>
      </c>
      <c r="F46" s="15">
        <v>43587</v>
      </c>
      <c r="G46" s="16">
        <v>1.34</v>
      </c>
      <c r="H46" s="15"/>
      <c r="I46" s="16"/>
      <c r="J46" s="15"/>
      <c r="K46" s="16"/>
      <c r="L46" s="15"/>
      <c r="M46" s="63"/>
      <c r="N46" s="17"/>
      <c r="O46" s="16"/>
      <c r="P46" s="18">
        <f t="shared" si="0"/>
        <v>1.34</v>
      </c>
    </row>
    <row r="47" spans="2:16" x14ac:dyDescent="0.25">
      <c r="B47" s="12" t="s">
        <v>80</v>
      </c>
      <c r="C47" s="13" t="s">
        <v>81</v>
      </c>
      <c r="D47" s="14" t="s">
        <v>15</v>
      </c>
      <c r="E47" s="14" t="s">
        <v>16</v>
      </c>
      <c r="F47" s="15">
        <v>43605</v>
      </c>
      <c r="G47" s="16">
        <v>1.5</v>
      </c>
      <c r="H47" s="15"/>
      <c r="I47" s="16"/>
      <c r="J47" s="15"/>
      <c r="K47" s="16"/>
      <c r="L47" s="15"/>
      <c r="M47" s="63"/>
      <c r="N47" s="17"/>
      <c r="O47" s="16"/>
      <c r="P47" s="18">
        <f t="shared" si="0"/>
        <v>1.5</v>
      </c>
    </row>
    <row r="48" spans="2:16" x14ac:dyDescent="0.25">
      <c r="B48" s="12" t="s">
        <v>82</v>
      </c>
      <c r="C48" s="13" t="s">
        <v>83</v>
      </c>
      <c r="D48" s="14" t="s">
        <v>15</v>
      </c>
      <c r="E48" s="14" t="s">
        <v>77</v>
      </c>
      <c r="F48" s="15">
        <v>43573</v>
      </c>
      <c r="G48" s="16">
        <v>13.2</v>
      </c>
      <c r="H48" s="15">
        <v>43755</v>
      </c>
      <c r="I48" s="16">
        <v>9.4</v>
      </c>
      <c r="J48" s="15"/>
      <c r="K48" s="16"/>
      <c r="L48" s="15"/>
      <c r="M48" s="63"/>
      <c r="N48" s="17"/>
      <c r="O48" s="16"/>
      <c r="P48" s="18">
        <f t="shared" si="0"/>
        <v>22.6</v>
      </c>
    </row>
    <row r="49" spans="2:16" x14ac:dyDescent="0.25">
      <c r="B49" s="12" t="s">
        <v>84</v>
      </c>
      <c r="C49" s="13" t="s">
        <v>85</v>
      </c>
      <c r="D49" s="14" t="s">
        <v>15</v>
      </c>
      <c r="E49" s="14" t="s">
        <v>16</v>
      </c>
      <c r="F49" s="15">
        <v>43578</v>
      </c>
      <c r="G49" s="16">
        <v>0.2</v>
      </c>
      <c r="H49" s="15">
        <v>43787</v>
      </c>
      <c r="I49" s="16">
        <v>0.21</v>
      </c>
      <c r="J49" s="15"/>
      <c r="K49" s="16"/>
      <c r="L49" s="15"/>
      <c r="M49" s="63"/>
      <c r="N49" s="17"/>
      <c r="O49" s="16"/>
      <c r="P49" s="18">
        <f t="shared" si="0"/>
        <v>0.41000000000000003</v>
      </c>
    </row>
    <row r="50" spans="2:16" x14ac:dyDescent="0.25">
      <c r="B50" s="12" t="s">
        <v>86</v>
      </c>
      <c r="C50" s="13" t="s">
        <v>87</v>
      </c>
      <c r="D50" s="14" t="s">
        <v>15</v>
      </c>
      <c r="E50" s="14" t="s">
        <v>16</v>
      </c>
      <c r="F50" s="15">
        <v>43563</v>
      </c>
      <c r="G50" s="16">
        <v>0.16</v>
      </c>
      <c r="H50" s="15">
        <v>43749</v>
      </c>
      <c r="I50" s="16">
        <v>0.1</v>
      </c>
      <c r="J50" s="15"/>
      <c r="K50" s="16"/>
      <c r="L50" s="15"/>
      <c r="M50" s="63"/>
      <c r="N50" s="17"/>
      <c r="O50" s="16"/>
      <c r="P50" s="18">
        <f t="shared" si="0"/>
        <v>0.26</v>
      </c>
    </row>
    <row r="51" spans="2:16" x14ac:dyDescent="0.25">
      <c r="B51" s="12" t="s">
        <v>88</v>
      </c>
      <c r="C51" s="13" t="s">
        <v>89</v>
      </c>
      <c r="D51" s="14" t="s">
        <v>15</v>
      </c>
      <c r="E51" s="14" t="s">
        <v>16</v>
      </c>
      <c r="F51" s="15"/>
      <c r="G51" s="16"/>
      <c r="H51" s="15"/>
      <c r="I51" s="16"/>
      <c r="J51" s="15"/>
      <c r="K51" s="16"/>
      <c r="L51" s="15"/>
      <c r="M51" s="63"/>
      <c r="N51" s="17"/>
      <c r="O51" s="16"/>
      <c r="P51" s="18">
        <f t="shared" si="0"/>
        <v>0</v>
      </c>
    </row>
    <row r="52" spans="2:16" x14ac:dyDescent="0.25">
      <c r="B52" s="12" t="s">
        <v>90</v>
      </c>
      <c r="C52" s="13" t="s">
        <v>91</v>
      </c>
      <c r="D52" s="14" t="s">
        <v>15</v>
      </c>
      <c r="E52" s="14" t="s">
        <v>16</v>
      </c>
      <c r="F52" s="15">
        <v>43495</v>
      </c>
      <c r="G52" s="16">
        <v>6.5000000000000002E-2</v>
      </c>
      <c r="H52" s="15">
        <v>43584</v>
      </c>
      <c r="I52" s="16">
        <v>6.5000000000000002E-2</v>
      </c>
      <c r="J52" s="15">
        <v>43768</v>
      </c>
      <c r="K52" s="16">
        <v>0.1</v>
      </c>
      <c r="L52" s="15"/>
      <c r="M52" s="16"/>
      <c r="N52" s="17"/>
      <c r="O52" s="16"/>
      <c r="P52" s="18">
        <f t="shared" si="0"/>
        <v>0.23</v>
      </c>
    </row>
    <row r="53" spans="2:16" x14ac:dyDescent="0.25">
      <c r="B53" s="19" t="s">
        <v>112</v>
      </c>
      <c r="C53" s="20" t="s">
        <v>113</v>
      </c>
      <c r="D53" s="21" t="s">
        <v>55</v>
      </c>
      <c r="E53" s="22" t="s">
        <v>56</v>
      </c>
      <c r="F53" s="23">
        <v>43524</v>
      </c>
      <c r="G53" s="24">
        <v>0.15</v>
      </c>
      <c r="H53" s="23">
        <v>43622</v>
      </c>
      <c r="I53" s="24">
        <v>0.15</v>
      </c>
      <c r="J53" s="23">
        <v>43713</v>
      </c>
      <c r="K53" s="24">
        <v>0.18</v>
      </c>
      <c r="L53" s="23">
        <v>43804</v>
      </c>
      <c r="M53" s="77">
        <v>0.18</v>
      </c>
      <c r="N53" s="25"/>
      <c r="O53" s="24"/>
      <c r="P53" s="26">
        <f t="shared" si="0"/>
        <v>0.65999999999999992</v>
      </c>
    </row>
    <row r="54" spans="2:16" x14ac:dyDescent="0.25">
      <c r="B54" s="12" t="s">
        <v>92</v>
      </c>
      <c r="C54" s="13" t="s">
        <v>93</v>
      </c>
      <c r="D54" s="14" t="s">
        <v>15</v>
      </c>
      <c r="E54" s="14" t="s">
        <v>16</v>
      </c>
      <c r="F54" s="15">
        <v>43564</v>
      </c>
      <c r="G54" s="16">
        <v>0.11576</v>
      </c>
      <c r="H54" s="15"/>
      <c r="I54" s="16"/>
      <c r="J54" s="15"/>
      <c r="K54" s="16"/>
      <c r="L54" s="15"/>
      <c r="M54" s="63"/>
      <c r="N54" s="17"/>
      <c r="O54" s="16"/>
      <c r="P54" s="18">
        <f t="shared" si="0"/>
        <v>0.11576</v>
      </c>
    </row>
    <row r="55" spans="2:16" x14ac:dyDescent="0.25">
      <c r="B55" s="12" t="s">
        <v>94</v>
      </c>
      <c r="C55" s="13" t="s">
        <v>95</v>
      </c>
      <c r="D55" s="14" t="s">
        <v>15</v>
      </c>
      <c r="E55" s="14" t="s">
        <v>16</v>
      </c>
      <c r="F55" s="15">
        <v>43458</v>
      </c>
      <c r="G55" s="16">
        <v>6.4801999999999998E-2</v>
      </c>
      <c r="H55" s="15">
        <v>43550</v>
      </c>
      <c r="I55" s="16">
        <v>9.9274000000000001E-2</v>
      </c>
      <c r="J55" s="15">
        <v>43640</v>
      </c>
      <c r="K55" s="16">
        <v>6.6692000000000001E-2</v>
      </c>
      <c r="L55" s="15">
        <v>43731</v>
      </c>
      <c r="M55" s="63">
        <v>6.3718999999999998E-2</v>
      </c>
      <c r="N55" s="17"/>
      <c r="O55" s="16"/>
      <c r="P55" s="18">
        <f t="shared" si="0"/>
        <v>0.294487</v>
      </c>
    </row>
    <row r="56" spans="2:16" x14ac:dyDescent="0.25">
      <c r="B56" s="12" t="s">
        <v>96</v>
      </c>
      <c r="C56" s="13" t="s">
        <v>97</v>
      </c>
      <c r="D56" s="14" t="s">
        <v>15</v>
      </c>
      <c r="E56" s="14" t="s">
        <v>77</v>
      </c>
      <c r="F56" s="15">
        <v>43524</v>
      </c>
      <c r="G56" s="16">
        <v>4</v>
      </c>
      <c r="H56" s="15">
        <v>43685</v>
      </c>
      <c r="I56" s="16">
        <v>3</v>
      </c>
      <c r="J56" s="15"/>
      <c r="K56" s="16"/>
      <c r="L56" s="15"/>
      <c r="M56" s="63"/>
      <c r="N56" s="17"/>
      <c r="O56" s="16"/>
      <c r="P56" s="18">
        <f t="shared" si="0"/>
        <v>7</v>
      </c>
    </row>
    <row r="57" spans="2:16" x14ac:dyDescent="0.25">
      <c r="B57" s="12" t="s">
        <v>98</v>
      </c>
      <c r="C57" s="13" t="s">
        <v>99</v>
      </c>
      <c r="D57" s="14" t="s">
        <v>15</v>
      </c>
      <c r="E57" s="14" t="s">
        <v>16</v>
      </c>
      <c r="F57" s="15">
        <v>43591</v>
      </c>
      <c r="G57" s="16">
        <v>3.2</v>
      </c>
      <c r="H57" s="15"/>
      <c r="I57" s="16"/>
      <c r="J57" s="15"/>
      <c r="K57" s="16"/>
      <c r="L57" s="15"/>
      <c r="M57" s="63"/>
      <c r="N57" s="17"/>
      <c r="O57" s="16"/>
      <c r="P57" s="18">
        <f t="shared" si="0"/>
        <v>3.2</v>
      </c>
    </row>
    <row r="58" spans="2:16" x14ac:dyDescent="0.25">
      <c r="B58" s="12" t="s">
        <v>100</v>
      </c>
      <c r="C58" s="13" t="s">
        <v>101</v>
      </c>
      <c r="D58" s="14" t="s">
        <v>15</v>
      </c>
      <c r="E58" s="14" t="s">
        <v>16</v>
      </c>
      <c r="F58" s="15">
        <v>43584</v>
      </c>
      <c r="G58" s="16">
        <v>2.8</v>
      </c>
      <c r="H58" s="15"/>
      <c r="I58" s="16"/>
      <c r="J58" s="15"/>
      <c r="K58" s="16"/>
      <c r="L58" s="15"/>
      <c r="M58" s="63"/>
      <c r="N58" s="17"/>
      <c r="O58" s="16"/>
      <c r="P58" s="18">
        <f t="shared" si="0"/>
        <v>2.8</v>
      </c>
    </row>
    <row r="59" spans="2:16" x14ac:dyDescent="0.25">
      <c r="B59" s="12" t="s">
        <v>102</v>
      </c>
      <c r="C59" s="13" t="s">
        <v>103</v>
      </c>
      <c r="D59" s="14" t="s">
        <v>27</v>
      </c>
      <c r="E59" s="14" t="s">
        <v>16</v>
      </c>
      <c r="F59" s="15">
        <v>43593</v>
      </c>
      <c r="G59" s="16">
        <v>0.86</v>
      </c>
      <c r="H59" s="15">
        <v>43797</v>
      </c>
      <c r="I59" s="16">
        <v>2.59</v>
      </c>
      <c r="J59" s="15"/>
      <c r="K59" s="16"/>
      <c r="L59" s="15"/>
      <c r="M59" s="63"/>
      <c r="N59" s="17"/>
      <c r="O59" s="16"/>
      <c r="P59" s="18">
        <f t="shared" si="0"/>
        <v>3.4499999999999997</v>
      </c>
    </row>
    <row r="60" spans="2:16" x14ac:dyDescent="0.25">
      <c r="B60" s="12" t="s">
        <v>104</v>
      </c>
      <c r="C60" s="13" t="s">
        <v>105</v>
      </c>
      <c r="D60" s="14" t="s">
        <v>27</v>
      </c>
      <c r="E60" s="14" t="s">
        <v>16</v>
      </c>
      <c r="F60" s="15">
        <v>43594</v>
      </c>
      <c r="G60" s="16">
        <v>0.7</v>
      </c>
      <c r="H60" s="15"/>
      <c r="I60" s="16"/>
      <c r="J60" s="15"/>
      <c r="K60" s="16"/>
      <c r="L60" s="15"/>
      <c r="M60" s="63"/>
      <c r="N60" s="17"/>
      <c r="O60" s="16"/>
      <c r="P60" s="18">
        <f t="shared" si="0"/>
        <v>0.7</v>
      </c>
    </row>
    <row r="61" spans="2:16" x14ac:dyDescent="0.25">
      <c r="B61" s="12" t="s">
        <v>638</v>
      </c>
      <c r="C61" s="13" t="s">
        <v>107</v>
      </c>
      <c r="D61" s="14" t="s">
        <v>15</v>
      </c>
      <c r="E61" s="14" t="s">
        <v>56</v>
      </c>
      <c r="F61" s="15">
        <v>43531</v>
      </c>
      <c r="G61" s="16">
        <v>0.55000000000000004</v>
      </c>
      <c r="H61" s="15">
        <v>43713</v>
      </c>
      <c r="I61" s="16">
        <v>0.78</v>
      </c>
      <c r="J61" s="15"/>
      <c r="K61" s="16"/>
      <c r="L61" s="15"/>
      <c r="M61" s="63"/>
      <c r="N61" s="17"/>
      <c r="O61" s="16"/>
      <c r="P61" s="18">
        <f t="shared" si="0"/>
        <v>1.33</v>
      </c>
    </row>
    <row r="62" spans="2:16" x14ac:dyDescent="0.25">
      <c r="B62" s="12" t="s">
        <v>108</v>
      </c>
      <c r="C62" s="13" t="s">
        <v>109</v>
      </c>
      <c r="D62" s="14" t="s">
        <v>15</v>
      </c>
      <c r="E62" s="14" t="s">
        <v>16</v>
      </c>
      <c r="F62" s="15">
        <v>43602</v>
      </c>
      <c r="G62" s="16">
        <v>3.5</v>
      </c>
      <c r="H62" s="15"/>
      <c r="I62" s="16"/>
      <c r="J62" s="15"/>
      <c r="K62" s="16"/>
      <c r="L62" s="15"/>
      <c r="M62" s="63"/>
      <c r="N62" s="17"/>
      <c r="O62" s="16"/>
      <c r="P62" s="18">
        <f t="shared" si="0"/>
        <v>3.5</v>
      </c>
    </row>
    <row r="63" spans="2:16" x14ac:dyDescent="0.25">
      <c r="B63" s="12" t="s">
        <v>110</v>
      </c>
      <c r="C63" s="13" t="s">
        <v>111</v>
      </c>
      <c r="D63" s="14" t="s">
        <v>24</v>
      </c>
      <c r="E63" s="14" t="s">
        <v>16</v>
      </c>
      <c r="F63" s="15">
        <v>43614</v>
      </c>
      <c r="G63" s="16">
        <v>3.02</v>
      </c>
      <c r="H63" s="15"/>
      <c r="I63" s="16"/>
      <c r="J63" s="15"/>
      <c r="K63" s="16"/>
      <c r="L63" s="15"/>
      <c r="M63" s="63"/>
      <c r="N63" s="17"/>
      <c r="O63" s="16"/>
      <c r="P63" s="18">
        <f t="shared" si="0"/>
        <v>3.02</v>
      </c>
    </row>
    <row r="64" spans="2:16" x14ac:dyDescent="0.25">
      <c r="B64" s="19" t="s">
        <v>564</v>
      </c>
      <c r="C64" s="20" t="s">
        <v>591</v>
      </c>
      <c r="D64" s="21" t="s">
        <v>55</v>
      </c>
      <c r="E64" s="22" t="s">
        <v>56</v>
      </c>
      <c r="F64" s="23">
        <v>43503</v>
      </c>
      <c r="G64" s="24">
        <v>2.0550000000000002</v>
      </c>
      <c r="H64" s="23">
        <v>43594</v>
      </c>
      <c r="I64" s="24">
        <v>2.0550000000000002</v>
      </c>
      <c r="J64" s="23">
        <v>43685</v>
      </c>
      <c r="K64" s="24">
        <v>2.0550000000000002</v>
      </c>
      <c r="L64" s="23">
        <v>43776</v>
      </c>
      <c r="M64" s="24">
        <v>2.0550000000000002</v>
      </c>
      <c r="N64" s="25"/>
      <c r="O64" s="24"/>
      <c r="P64" s="26">
        <f t="shared" si="0"/>
        <v>8.2200000000000006</v>
      </c>
    </row>
    <row r="65" spans="2:16" x14ac:dyDescent="0.25">
      <c r="B65" s="12" t="s">
        <v>114</v>
      </c>
      <c r="C65" s="13" t="s">
        <v>115</v>
      </c>
      <c r="D65" s="14" t="s">
        <v>24</v>
      </c>
      <c r="E65" s="14" t="s">
        <v>16</v>
      </c>
      <c r="F65" s="15">
        <v>43620</v>
      </c>
      <c r="G65" s="16">
        <v>0.04</v>
      </c>
      <c r="H65" s="15">
        <v>43727</v>
      </c>
      <c r="I65" s="16">
        <v>0.02</v>
      </c>
      <c r="J65" s="15"/>
      <c r="K65" s="16"/>
      <c r="L65" s="15"/>
      <c r="M65" s="63"/>
      <c r="N65" s="17"/>
      <c r="O65" s="16"/>
      <c r="P65" s="18">
        <f t="shared" si="0"/>
        <v>0.06</v>
      </c>
    </row>
    <row r="66" spans="2:16" x14ac:dyDescent="0.25">
      <c r="B66" s="12" t="s">
        <v>116</v>
      </c>
      <c r="C66" s="13" t="s">
        <v>117</v>
      </c>
      <c r="D66" s="14" t="s">
        <v>15</v>
      </c>
      <c r="E66" s="14" t="s">
        <v>16</v>
      </c>
      <c r="F66" s="15">
        <v>43458</v>
      </c>
      <c r="G66" s="16">
        <v>0.6</v>
      </c>
      <c r="H66" s="15">
        <v>43593</v>
      </c>
      <c r="I66" s="16">
        <v>0.56999999999999995</v>
      </c>
      <c r="J66" s="15">
        <v>43719</v>
      </c>
      <c r="K66" s="16">
        <v>0.4</v>
      </c>
      <c r="L66" s="15"/>
      <c r="M66" s="63"/>
      <c r="N66" s="17"/>
      <c r="O66" s="16"/>
      <c r="P66" s="18">
        <f t="shared" si="0"/>
        <v>1.5699999999999998</v>
      </c>
    </row>
    <row r="67" spans="2:16" x14ac:dyDescent="0.25">
      <c r="B67" s="12" t="s">
        <v>118</v>
      </c>
      <c r="C67" s="13" t="s">
        <v>119</v>
      </c>
      <c r="D67" s="14" t="s">
        <v>15</v>
      </c>
      <c r="E67" s="14" t="s">
        <v>16</v>
      </c>
      <c r="F67" s="15">
        <v>43595</v>
      </c>
      <c r="G67" s="16">
        <v>0.5</v>
      </c>
      <c r="H67" s="15"/>
      <c r="I67" s="16"/>
      <c r="J67" s="15"/>
      <c r="K67" s="16"/>
      <c r="L67" s="15"/>
      <c r="M67" s="63"/>
      <c r="N67" s="17"/>
      <c r="O67" s="16"/>
      <c r="P67" s="18">
        <f t="shared" si="0"/>
        <v>0.5</v>
      </c>
    </row>
    <row r="68" spans="2:16" x14ac:dyDescent="0.25">
      <c r="B68" s="12" t="s">
        <v>120</v>
      </c>
      <c r="C68" s="13" t="s">
        <v>121</v>
      </c>
      <c r="D68" s="14" t="s">
        <v>24</v>
      </c>
      <c r="E68" s="14" t="s">
        <v>16</v>
      </c>
      <c r="F68" s="15">
        <v>43585</v>
      </c>
      <c r="G68" s="16">
        <v>1.7</v>
      </c>
      <c r="H68" s="15"/>
      <c r="I68" s="16"/>
      <c r="J68" s="15"/>
      <c r="K68" s="16"/>
      <c r="L68" s="15"/>
      <c r="M68" s="63"/>
      <c r="N68" s="17"/>
      <c r="O68" s="16"/>
      <c r="P68" s="18">
        <f t="shared" si="0"/>
        <v>1.7</v>
      </c>
    </row>
    <row r="69" spans="2:16" x14ac:dyDescent="0.25">
      <c r="B69" s="12" t="s">
        <v>122</v>
      </c>
      <c r="C69" s="13" t="s">
        <v>123</v>
      </c>
      <c r="D69" s="14" t="s">
        <v>15</v>
      </c>
      <c r="E69" s="14" t="s">
        <v>77</v>
      </c>
      <c r="F69" s="15">
        <v>43510</v>
      </c>
      <c r="G69" s="16">
        <v>7.74</v>
      </c>
      <c r="H69" s="15">
        <v>43594</v>
      </c>
      <c r="I69" s="16">
        <v>7.88</v>
      </c>
      <c r="J69" s="15">
        <v>43685</v>
      </c>
      <c r="K69" s="16">
        <v>8.3475000000000001</v>
      </c>
      <c r="L69" s="15">
        <v>43776</v>
      </c>
      <c r="M69" s="16">
        <v>7.9516</v>
      </c>
      <c r="N69" s="17"/>
      <c r="O69" s="16"/>
      <c r="P69" s="18">
        <f t="shared" si="0"/>
        <v>31.9191</v>
      </c>
    </row>
    <row r="70" spans="2:16" x14ac:dyDescent="0.25">
      <c r="B70" s="12" t="s">
        <v>124</v>
      </c>
      <c r="C70" s="13" t="s">
        <v>125</v>
      </c>
      <c r="D70" s="14" t="s">
        <v>15</v>
      </c>
      <c r="E70" s="14" t="s">
        <v>16</v>
      </c>
      <c r="F70" s="15">
        <v>43605</v>
      </c>
      <c r="G70" s="16">
        <v>0.13</v>
      </c>
      <c r="H70" s="15"/>
      <c r="I70" s="16"/>
      <c r="J70" s="15"/>
      <c r="K70" s="16"/>
      <c r="L70" s="15"/>
      <c r="M70" s="63"/>
      <c r="N70" s="17"/>
      <c r="O70" s="16"/>
      <c r="P70" s="18">
        <f t="shared" si="0"/>
        <v>0.13</v>
      </c>
    </row>
    <row r="71" spans="2:16" x14ac:dyDescent="0.25">
      <c r="B71" s="12" t="s">
        <v>126</v>
      </c>
      <c r="C71" s="13" t="s">
        <v>127</v>
      </c>
      <c r="D71" s="14" t="s">
        <v>27</v>
      </c>
      <c r="E71" s="14" t="s">
        <v>16</v>
      </c>
      <c r="F71" s="15">
        <v>43598</v>
      </c>
      <c r="G71" s="16">
        <v>0.25</v>
      </c>
      <c r="H71" s="15">
        <v>43804</v>
      </c>
      <c r="I71" s="16">
        <v>0.62</v>
      </c>
      <c r="J71" s="15"/>
      <c r="K71" s="16"/>
      <c r="L71" s="15"/>
      <c r="M71" s="63"/>
      <c r="N71" s="17"/>
      <c r="O71" s="16"/>
      <c r="P71" s="18">
        <f t="shared" si="0"/>
        <v>0.87</v>
      </c>
    </row>
    <row r="72" spans="2:16" x14ac:dyDescent="0.25">
      <c r="B72" s="19" t="s">
        <v>566</v>
      </c>
      <c r="C72" s="20" t="s">
        <v>593</v>
      </c>
      <c r="D72" s="21" t="s">
        <v>55</v>
      </c>
      <c r="E72" s="22" t="s">
        <v>56</v>
      </c>
      <c r="F72" s="23">
        <v>43559</v>
      </c>
      <c r="G72" s="24">
        <v>0.41</v>
      </c>
      <c r="H72" s="23">
        <v>43649</v>
      </c>
      <c r="I72" s="24">
        <v>0.41</v>
      </c>
      <c r="J72" s="23">
        <v>43741</v>
      </c>
      <c r="K72" s="24">
        <v>0.41</v>
      </c>
      <c r="L72" s="23">
        <v>43832</v>
      </c>
      <c r="M72" s="77">
        <v>0.45</v>
      </c>
      <c r="N72" s="25"/>
      <c r="O72" s="24"/>
      <c r="P72" s="26">
        <f t="shared" si="0"/>
        <v>1.68</v>
      </c>
    </row>
    <row r="73" spans="2:16" x14ac:dyDescent="0.25">
      <c r="B73" s="12" t="s">
        <v>128</v>
      </c>
      <c r="C73" s="13" t="s">
        <v>129</v>
      </c>
      <c r="D73" s="14" t="s">
        <v>15</v>
      </c>
      <c r="E73" s="14" t="s">
        <v>77</v>
      </c>
      <c r="F73" s="15">
        <v>43461</v>
      </c>
      <c r="G73" s="16">
        <v>48.8</v>
      </c>
      <c r="H73" s="15">
        <v>43545</v>
      </c>
      <c r="I73" s="16">
        <v>50.75</v>
      </c>
      <c r="J73" s="15">
        <v>43643</v>
      </c>
      <c r="K73" s="16">
        <v>50.75</v>
      </c>
      <c r="L73" s="15">
        <v>43741</v>
      </c>
      <c r="M73" s="63">
        <v>50.75</v>
      </c>
      <c r="N73" s="17"/>
      <c r="O73" s="16"/>
      <c r="P73" s="18">
        <f t="shared" si="0"/>
        <v>201.05</v>
      </c>
    </row>
    <row r="74" spans="2:16" x14ac:dyDescent="0.25">
      <c r="B74" s="19" t="s">
        <v>568</v>
      </c>
      <c r="C74" s="20" t="s">
        <v>595</v>
      </c>
      <c r="D74" s="21" t="s">
        <v>55</v>
      </c>
      <c r="E74" s="22" t="s">
        <v>56</v>
      </c>
      <c r="F74" s="23">
        <v>43544</v>
      </c>
      <c r="G74" s="24">
        <v>2.65</v>
      </c>
      <c r="H74" s="23">
        <v>43637</v>
      </c>
      <c r="I74" s="24">
        <v>2.65</v>
      </c>
      <c r="J74" s="23">
        <v>43728</v>
      </c>
      <c r="K74" s="24">
        <v>2.65</v>
      </c>
      <c r="L74" s="23">
        <v>43819</v>
      </c>
      <c r="M74" s="77">
        <v>3.25</v>
      </c>
      <c r="N74" s="25"/>
      <c r="O74" s="24"/>
      <c r="P74" s="26">
        <f t="shared" si="0"/>
        <v>11.2</v>
      </c>
    </row>
    <row r="75" spans="2:16" x14ac:dyDescent="0.25">
      <c r="B75" s="12" t="s">
        <v>130</v>
      </c>
      <c r="C75" s="13" t="s">
        <v>131</v>
      </c>
      <c r="D75" s="14" t="s">
        <v>15</v>
      </c>
      <c r="E75" s="14" t="s">
        <v>77</v>
      </c>
      <c r="F75" s="15">
        <v>43461</v>
      </c>
      <c r="G75" s="16">
        <v>4.62</v>
      </c>
      <c r="H75" s="15">
        <v>43685</v>
      </c>
      <c r="I75" s="16">
        <v>10.78</v>
      </c>
      <c r="J75" s="15"/>
      <c r="K75" s="16"/>
      <c r="L75" s="15"/>
      <c r="M75" s="63"/>
      <c r="N75" s="17"/>
      <c r="O75" s="16"/>
      <c r="P75" s="18">
        <f t="shared" si="0"/>
        <v>15.399999999999999</v>
      </c>
    </row>
    <row r="76" spans="2:16" x14ac:dyDescent="0.25">
      <c r="B76" s="12" t="s">
        <v>132</v>
      </c>
      <c r="C76" s="13" t="s">
        <v>133</v>
      </c>
      <c r="D76" s="14" t="s">
        <v>15</v>
      </c>
      <c r="E76" s="14" t="s">
        <v>16</v>
      </c>
      <c r="F76" s="15">
        <v>43566</v>
      </c>
      <c r="G76" s="16">
        <v>0.1</v>
      </c>
      <c r="H76" s="15"/>
      <c r="I76" s="16"/>
      <c r="J76" s="15"/>
      <c r="K76" s="16"/>
      <c r="L76" s="15"/>
      <c r="M76" s="63"/>
      <c r="N76" s="17"/>
      <c r="O76" s="16"/>
      <c r="P76" s="18">
        <f t="shared" ref="P76:P140" si="1">G76+I76+K76+M76+O76</f>
        <v>0.1</v>
      </c>
    </row>
    <row r="77" spans="2:16" x14ac:dyDescent="0.25">
      <c r="B77" s="12" t="s">
        <v>608</v>
      </c>
      <c r="C77" s="13" t="s">
        <v>134</v>
      </c>
      <c r="D77" s="14" t="s">
        <v>24</v>
      </c>
      <c r="E77" s="14" t="s">
        <v>16</v>
      </c>
      <c r="F77" s="15">
        <v>43621</v>
      </c>
      <c r="G77" s="16">
        <v>1.7</v>
      </c>
      <c r="H77" s="15"/>
      <c r="I77" s="16"/>
      <c r="J77" s="15"/>
      <c r="K77" s="16"/>
      <c r="L77" s="15"/>
      <c r="M77" s="63"/>
      <c r="N77" s="17"/>
      <c r="O77" s="16"/>
      <c r="P77" s="18">
        <f t="shared" si="1"/>
        <v>1.7</v>
      </c>
    </row>
    <row r="78" spans="2:16" x14ac:dyDescent="0.25">
      <c r="B78" s="12" t="s">
        <v>135</v>
      </c>
      <c r="C78" s="13" t="s">
        <v>136</v>
      </c>
      <c r="D78" s="14" t="s">
        <v>24</v>
      </c>
      <c r="E78" s="14" t="s">
        <v>16</v>
      </c>
      <c r="F78" s="15">
        <v>43636</v>
      </c>
      <c r="G78" s="16">
        <v>0.46</v>
      </c>
      <c r="H78" s="15"/>
      <c r="I78" s="16"/>
      <c r="J78" s="15"/>
      <c r="K78" s="16"/>
      <c r="L78" s="15"/>
      <c r="M78" s="63"/>
      <c r="N78" s="17"/>
      <c r="O78" s="16"/>
      <c r="P78" s="18">
        <f t="shared" si="1"/>
        <v>0.46</v>
      </c>
    </row>
    <row r="79" spans="2:16" x14ac:dyDescent="0.25">
      <c r="B79" s="12" t="s">
        <v>137</v>
      </c>
      <c r="C79" s="13" t="s">
        <v>138</v>
      </c>
      <c r="D79" s="14" t="s">
        <v>24</v>
      </c>
      <c r="E79" s="14" t="s">
        <v>16</v>
      </c>
      <c r="F79" s="15">
        <v>43594</v>
      </c>
      <c r="G79" s="16">
        <v>1.56</v>
      </c>
      <c r="H79" s="15"/>
      <c r="I79" s="16"/>
      <c r="J79" s="15"/>
      <c r="K79" s="16"/>
      <c r="L79" s="15"/>
      <c r="M79" s="63"/>
      <c r="N79" s="17"/>
      <c r="O79" s="16"/>
      <c r="P79" s="18">
        <f t="shared" si="1"/>
        <v>1.56</v>
      </c>
    </row>
    <row r="80" spans="2:16" x14ac:dyDescent="0.25">
      <c r="B80" s="12" t="s">
        <v>139</v>
      </c>
      <c r="C80" s="13" t="s">
        <v>140</v>
      </c>
      <c r="D80" s="14" t="s">
        <v>15</v>
      </c>
      <c r="E80" s="14" t="s">
        <v>77</v>
      </c>
      <c r="F80" s="15">
        <v>43594</v>
      </c>
      <c r="G80" s="16">
        <v>8.4</v>
      </c>
      <c r="H80" s="15">
        <v>43748</v>
      </c>
      <c r="I80" s="16">
        <v>1.5</v>
      </c>
      <c r="J80" s="15"/>
      <c r="K80" s="16"/>
      <c r="L80" s="15"/>
      <c r="M80" s="63"/>
      <c r="N80" s="17"/>
      <c r="O80" s="16"/>
      <c r="P80" s="18">
        <f t="shared" si="1"/>
        <v>9.9</v>
      </c>
    </row>
    <row r="81" spans="1:17" x14ac:dyDescent="0.25">
      <c r="B81" s="19" t="s">
        <v>141</v>
      </c>
      <c r="C81" s="20" t="s">
        <v>142</v>
      </c>
      <c r="D81" s="21" t="s">
        <v>55</v>
      </c>
      <c r="E81" s="22" t="s">
        <v>56</v>
      </c>
      <c r="F81" s="23">
        <v>43510</v>
      </c>
      <c r="G81" s="24">
        <v>1.19</v>
      </c>
      <c r="H81" s="23">
        <v>43601</v>
      </c>
      <c r="I81" s="24">
        <v>1.19</v>
      </c>
      <c r="J81" s="23">
        <v>43693</v>
      </c>
      <c r="K81" s="24">
        <v>1.19</v>
      </c>
      <c r="L81" s="23">
        <v>43784</v>
      </c>
      <c r="M81" s="77">
        <v>1.19</v>
      </c>
      <c r="N81" s="25"/>
      <c r="O81" s="24"/>
      <c r="P81" s="26">
        <f t="shared" si="1"/>
        <v>4.76</v>
      </c>
    </row>
    <row r="82" spans="1:17" x14ac:dyDescent="0.25">
      <c r="B82" s="19" t="s">
        <v>143</v>
      </c>
      <c r="C82" s="20" t="s">
        <v>144</v>
      </c>
      <c r="D82" s="21" t="s">
        <v>55</v>
      </c>
      <c r="E82" s="22" t="s">
        <v>56</v>
      </c>
      <c r="F82" s="23">
        <v>43559</v>
      </c>
      <c r="G82" s="24">
        <v>0.35</v>
      </c>
      <c r="H82" s="23">
        <v>43649</v>
      </c>
      <c r="I82" s="24">
        <v>0.35</v>
      </c>
      <c r="J82" s="23">
        <v>43741</v>
      </c>
      <c r="K82" s="24">
        <v>0.35</v>
      </c>
      <c r="L82" s="23">
        <v>43832</v>
      </c>
      <c r="M82" s="77">
        <v>0.35</v>
      </c>
      <c r="N82" s="25"/>
      <c r="O82" s="24"/>
      <c r="P82" s="26">
        <f t="shared" si="1"/>
        <v>1.4</v>
      </c>
    </row>
    <row r="83" spans="1:17" x14ac:dyDescent="0.25">
      <c r="B83" s="19" t="s">
        <v>145</v>
      </c>
      <c r="C83" s="20" t="s">
        <v>146</v>
      </c>
      <c r="D83" s="21" t="s">
        <v>55</v>
      </c>
      <c r="E83" s="22" t="s">
        <v>56</v>
      </c>
      <c r="F83" s="23">
        <v>43497</v>
      </c>
      <c r="G83" s="24">
        <v>0.45</v>
      </c>
      <c r="H83" s="23">
        <v>43588</v>
      </c>
      <c r="I83" s="24">
        <v>0.45</v>
      </c>
      <c r="J83" s="23">
        <v>43679</v>
      </c>
      <c r="K83" s="24">
        <v>0.51</v>
      </c>
      <c r="L83" s="23">
        <v>43770</v>
      </c>
      <c r="M83" s="24">
        <v>0.51</v>
      </c>
      <c r="N83" s="25"/>
      <c r="O83" s="24"/>
      <c r="P83" s="26">
        <f t="shared" si="1"/>
        <v>1.9200000000000002</v>
      </c>
    </row>
    <row r="84" spans="1:17" x14ac:dyDescent="0.25">
      <c r="B84" s="19" t="s">
        <v>147</v>
      </c>
      <c r="C84" s="20" t="s">
        <v>148</v>
      </c>
      <c r="D84" s="21" t="s">
        <v>55</v>
      </c>
      <c r="E84" s="22" t="s">
        <v>56</v>
      </c>
      <c r="F84" s="29">
        <v>43531</v>
      </c>
      <c r="G84" s="71">
        <v>0.74080000000000001</v>
      </c>
      <c r="H84" s="29">
        <v>43623</v>
      </c>
      <c r="I84" s="71">
        <v>0.74080000000000001</v>
      </c>
      <c r="J84" s="29">
        <v>43717</v>
      </c>
      <c r="K84" s="71">
        <v>0.74080000000000001</v>
      </c>
      <c r="L84" s="29">
        <v>43808</v>
      </c>
      <c r="M84" s="71">
        <v>0.74080000000000001</v>
      </c>
      <c r="N84" s="25"/>
      <c r="O84" s="24"/>
      <c r="P84" s="26">
        <f t="shared" si="1"/>
        <v>2.9632000000000001</v>
      </c>
    </row>
    <row r="85" spans="1:17" x14ac:dyDescent="0.25">
      <c r="B85" s="19" t="s">
        <v>149</v>
      </c>
      <c r="C85" s="20" t="s">
        <v>150</v>
      </c>
      <c r="D85" s="21" t="s">
        <v>55</v>
      </c>
      <c r="E85" s="22" t="s">
        <v>56</v>
      </c>
      <c r="F85" s="23">
        <v>43538</v>
      </c>
      <c r="G85" s="24">
        <v>0.4</v>
      </c>
      <c r="H85" s="23">
        <v>43629</v>
      </c>
      <c r="I85" s="24">
        <v>0.4</v>
      </c>
      <c r="J85" s="23">
        <v>43721</v>
      </c>
      <c r="K85" s="24">
        <v>0.4</v>
      </c>
      <c r="L85" s="23">
        <v>43798</v>
      </c>
      <c r="M85" s="77">
        <v>0.4</v>
      </c>
      <c r="N85" s="25"/>
      <c r="O85" s="24"/>
      <c r="P85" s="26">
        <f t="shared" si="1"/>
        <v>1.6</v>
      </c>
    </row>
    <row r="86" spans="1:17" x14ac:dyDescent="0.25">
      <c r="B86" s="12" t="s">
        <v>151</v>
      </c>
      <c r="C86" s="13" t="s">
        <v>152</v>
      </c>
      <c r="D86" s="14" t="s">
        <v>15</v>
      </c>
      <c r="E86" s="14" t="s">
        <v>16</v>
      </c>
      <c r="F86" s="29">
        <v>43650</v>
      </c>
      <c r="G86" s="71">
        <f>0.57*0.9406188</f>
        <v>0.53615271599999992</v>
      </c>
      <c r="H86" s="15"/>
      <c r="I86" s="16"/>
      <c r="J86" s="15"/>
      <c r="K86" s="16"/>
      <c r="L86" s="15"/>
      <c r="M86" s="63"/>
      <c r="N86" s="17"/>
      <c r="O86" s="16"/>
      <c r="P86" s="18">
        <f t="shared" si="1"/>
        <v>0.53615271599999992</v>
      </c>
    </row>
    <row r="87" spans="1:17" x14ac:dyDescent="0.25">
      <c r="B87" s="12" t="s">
        <v>153</v>
      </c>
      <c r="C87" s="13" t="s">
        <v>154</v>
      </c>
      <c r="D87" s="14" t="s">
        <v>27</v>
      </c>
      <c r="E87" s="14" t="s">
        <v>16</v>
      </c>
      <c r="F87" s="15">
        <v>43735</v>
      </c>
      <c r="G87" s="16">
        <v>1.31</v>
      </c>
      <c r="H87" s="15"/>
      <c r="I87" s="16"/>
      <c r="J87" s="15"/>
      <c r="K87" s="16"/>
      <c r="L87" s="15"/>
      <c r="M87" s="63"/>
      <c r="N87" s="17"/>
      <c r="O87" s="16"/>
      <c r="P87" s="18">
        <f t="shared" si="1"/>
        <v>1.31</v>
      </c>
    </row>
    <row r="88" spans="1:17" x14ac:dyDescent="0.25">
      <c r="B88" s="19" t="s">
        <v>550</v>
      </c>
      <c r="C88" s="20" t="s">
        <v>155</v>
      </c>
      <c r="D88" s="21" t="s">
        <v>55</v>
      </c>
      <c r="E88" s="22" t="s">
        <v>56</v>
      </c>
      <c r="F88" s="23">
        <v>43557</v>
      </c>
      <c r="G88" s="24">
        <v>0.21</v>
      </c>
      <c r="H88" s="23">
        <v>43648</v>
      </c>
      <c r="I88" s="24">
        <v>0.21</v>
      </c>
      <c r="J88" s="23">
        <v>43739</v>
      </c>
      <c r="K88" s="24">
        <v>0.21</v>
      </c>
      <c r="L88" s="23">
        <v>43837</v>
      </c>
      <c r="M88" s="77">
        <v>0.21</v>
      </c>
      <c r="N88" s="25"/>
      <c r="O88" s="24"/>
      <c r="P88" s="26">
        <f t="shared" si="1"/>
        <v>0.84</v>
      </c>
    </row>
    <row r="89" spans="1:17" x14ac:dyDescent="0.25">
      <c r="B89" s="12" t="s">
        <v>156</v>
      </c>
      <c r="C89" s="13" t="s">
        <v>157</v>
      </c>
      <c r="D89" s="14" t="s">
        <v>15</v>
      </c>
      <c r="E89" s="14" t="s">
        <v>21</v>
      </c>
      <c r="F89" s="15">
        <v>43726</v>
      </c>
      <c r="G89" s="16">
        <v>2</v>
      </c>
      <c r="H89" s="15"/>
      <c r="I89" s="16"/>
      <c r="J89" s="15"/>
      <c r="K89" s="16"/>
      <c r="L89" s="15"/>
      <c r="M89" s="63"/>
      <c r="N89" s="17"/>
      <c r="O89" s="16"/>
      <c r="P89" s="18">
        <f t="shared" si="1"/>
        <v>2</v>
      </c>
    </row>
    <row r="90" spans="1:17" x14ac:dyDescent="0.25">
      <c r="B90" s="31" t="s">
        <v>158</v>
      </c>
      <c r="C90" s="32" t="s">
        <v>159</v>
      </c>
      <c r="D90" s="14" t="s">
        <v>15</v>
      </c>
      <c r="E90" s="14" t="s">
        <v>77</v>
      </c>
      <c r="F90" s="15">
        <v>43482</v>
      </c>
      <c r="G90" s="16">
        <v>25.4</v>
      </c>
      <c r="H90" s="15">
        <v>43636</v>
      </c>
      <c r="I90" s="16">
        <v>13.1</v>
      </c>
      <c r="J90" s="15"/>
      <c r="K90" s="16"/>
      <c r="L90" s="15"/>
      <c r="M90" s="63"/>
      <c r="N90" s="17"/>
      <c r="O90" s="16"/>
      <c r="P90" s="18">
        <f t="shared" si="1"/>
        <v>38.5</v>
      </c>
    </row>
    <row r="91" spans="1:17" x14ac:dyDescent="0.25">
      <c r="B91" s="19" t="s">
        <v>160</v>
      </c>
      <c r="C91" s="66" t="s">
        <v>161</v>
      </c>
      <c r="D91" s="21" t="s">
        <v>55</v>
      </c>
      <c r="E91" s="22" t="s">
        <v>56</v>
      </c>
      <c r="F91" s="23">
        <v>43504</v>
      </c>
      <c r="G91" s="24">
        <v>0.30499999999999999</v>
      </c>
      <c r="H91" s="23">
        <v>43595</v>
      </c>
      <c r="I91" s="24">
        <v>0.30499999999999999</v>
      </c>
      <c r="J91" s="23">
        <v>43665</v>
      </c>
      <c r="K91" s="24">
        <v>0.30499999999999999</v>
      </c>
      <c r="L91" s="23">
        <v>43754</v>
      </c>
      <c r="M91" s="24">
        <v>0.42</v>
      </c>
      <c r="N91" s="25"/>
      <c r="O91" s="24"/>
      <c r="P91" s="26">
        <f t="shared" si="1"/>
        <v>1.335</v>
      </c>
    </row>
    <row r="92" spans="1:17" x14ac:dyDescent="0.25">
      <c r="A92" s="33"/>
      <c r="B92" s="34" t="s">
        <v>162</v>
      </c>
      <c r="C92" s="35" t="s">
        <v>163</v>
      </c>
      <c r="D92" s="14" t="s">
        <v>15</v>
      </c>
      <c r="E92" s="14" t="s">
        <v>16</v>
      </c>
      <c r="F92" s="15">
        <v>43584</v>
      </c>
      <c r="G92" s="16">
        <v>4.75</v>
      </c>
      <c r="H92" s="15"/>
      <c r="I92" s="16"/>
      <c r="J92" s="15"/>
      <c r="K92" s="16"/>
      <c r="L92" s="15"/>
      <c r="M92" s="63"/>
      <c r="N92" s="17"/>
      <c r="O92" s="16"/>
      <c r="P92" s="18">
        <f t="shared" si="1"/>
        <v>4.75</v>
      </c>
      <c r="Q92" s="36"/>
    </row>
    <row r="93" spans="1:17" x14ac:dyDescent="0.25">
      <c r="A93" s="33"/>
      <c r="B93" s="34" t="s">
        <v>164</v>
      </c>
      <c r="C93" s="35" t="s">
        <v>165</v>
      </c>
      <c r="D93" s="14" t="s">
        <v>24</v>
      </c>
      <c r="E93" s="14" t="s">
        <v>16</v>
      </c>
      <c r="F93" s="15">
        <v>43609</v>
      </c>
      <c r="G93" s="16">
        <v>0.69</v>
      </c>
      <c r="H93" s="15"/>
      <c r="I93" s="16"/>
      <c r="J93" s="15"/>
      <c r="K93" s="16"/>
      <c r="L93" s="15"/>
      <c r="M93" s="63"/>
      <c r="N93" s="17"/>
      <c r="O93" s="16"/>
      <c r="P93" s="18">
        <f t="shared" si="1"/>
        <v>0.69</v>
      </c>
      <c r="Q93" s="36"/>
    </row>
    <row r="94" spans="1:17" x14ac:dyDescent="0.25">
      <c r="A94" s="33"/>
      <c r="B94" s="37" t="s">
        <v>166</v>
      </c>
      <c r="C94" s="13" t="s">
        <v>167</v>
      </c>
      <c r="D94" s="14" t="s">
        <v>15</v>
      </c>
      <c r="E94" s="14" t="s">
        <v>21</v>
      </c>
      <c r="F94" s="15">
        <v>43588</v>
      </c>
      <c r="G94" s="16">
        <v>0.26250000000000001</v>
      </c>
      <c r="H94" s="15"/>
      <c r="I94" s="16"/>
      <c r="J94" s="15"/>
      <c r="K94" s="16"/>
      <c r="L94" s="15"/>
      <c r="M94" s="63"/>
      <c r="N94" s="17"/>
      <c r="O94" s="16"/>
      <c r="P94" s="18">
        <f t="shared" si="1"/>
        <v>0.26250000000000001</v>
      </c>
      <c r="Q94" s="36"/>
    </row>
    <row r="95" spans="1:17" x14ac:dyDescent="0.25">
      <c r="A95" s="33"/>
      <c r="B95" s="37" t="s">
        <v>168</v>
      </c>
      <c r="C95" s="13" t="s">
        <v>169</v>
      </c>
      <c r="D95" s="14" t="s">
        <v>15</v>
      </c>
      <c r="E95" s="14" t="s">
        <v>16</v>
      </c>
      <c r="F95" s="15">
        <v>43538</v>
      </c>
      <c r="G95" s="16">
        <v>0.52400000000000002</v>
      </c>
      <c r="H95" s="15">
        <v>43713</v>
      </c>
      <c r="I95" s="16">
        <v>0.2</v>
      </c>
      <c r="J95" s="15"/>
      <c r="K95" s="16"/>
      <c r="L95" s="15"/>
      <c r="M95" s="63"/>
      <c r="N95" s="17"/>
      <c r="O95" s="16"/>
      <c r="P95" s="18">
        <f t="shared" si="1"/>
        <v>0.72399999999999998</v>
      </c>
      <c r="Q95" s="36"/>
    </row>
    <row r="96" spans="1:17" x14ac:dyDescent="0.25">
      <c r="A96" s="33"/>
      <c r="B96" s="38" t="s">
        <v>577</v>
      </c>
      <c r="C96" s="20" t="s">
        <v>604</v>
      </c>
      <c r="D96" s="21" t="s">
        <v>55</v>
      </c>
      <c r="E96" s="22" t="s">
        <v>56</v>
      </c>
      <c r="F96" s="23">
        <v>43489</v>
      </c>
      <c r="G96" s="24">
        <v>0.5</v>
      </c>
      <c r="H96" s="23">
        <v>43577</v>
      </c>
      <c r="I96" s="24">
        <v>0.5</v>
      </c>
      <c r="J96" s="23">
        <v>43670</v>
      </c>
      <c r="K96" s="24">
        <v>0.5</v>
      </c>
      <c r="L96" s="23">
        <v>43761</v>
      </c>
      <c r="M96" s="77">
        <v>0.5</v>
      </c>
      <c r="N96" s="25"/>
      <c r="O96" s="24"/>
      <c r="P96" s="26">
        <f t="shared" si="1"/>
        <v>2</v>
      </c>
      <c r="Q96" s="36"/>
    </row>
    <row r="97" spans="2:16" x14ac:dyDescent="0.25">
      <c r="B97" s="12" t="s">
        <v>170</v>
      </c>
      <c r="C97" s="13" t="s">
        <v>171</v>
      </c>
      <c r="D97" s="14" t="s">
        <v>15</v>
      </c>
      <c r="E97" s="14" t="s">
        <v>16</v>
      </c>
      <c r="F97" s="15">
        <v>43608</v>
      </c>
      <c r="G97" s="16">
        <v>3.25</v>
      </c>
      <c r="H97" s="15"/>
      <c r="I97" s="16"/>
      <c r="J97" s="15"/>
      <c r="K97" s="16"/>
      <c r="L97" s="15"/>
      <c r="M97" s="63"/>
      <c r="N97" s="17"/>
      <c r="O97" s="16"/>
      <c r="P97" s="18">
        <f t="shared" si="1"/>
        <v>3.25</v>
      </c>
    </row>
    <row r="98" spans="2:16" x14ac:dyDescent="0.25">
      <c r="B98" s="12" t="s">
        <v>172</v>
      </c>
      <c r="C98" s="13" t="s">
        <v>173</v>
      </c>
      <c r="D98" s="14" t="s">
        <v>24</v>
      </c>
      <c r="E98" s="14" t="s">
        <v>16</v>
      </c>
      <c r="F98" s="15">
        <v>43592</v>
      </c>
      <c r="G98" s="16">
        <v>1.94</v>
      </c>
      <c r="H98" s="15"/>
      <c r="I98" s="16"/>
      <c r="J98" s="15"/>
      <c r="K98" s="16"/>
      <c r="L98" s="15"/>
      <c r="M98" s="63"/>
      <c r="N98" s="17"/>
      <c r="O98" s="16"/>
      <c r="P98" s="18">
        <f t="shared" si="1"/>
        <v>1.94</v>
      </c>
    </row>
    <row r="99" spans="2:16" x14ac:dyDescent="0.25">
      <c r="B99" s="12" t="s">
        <v>174</v>
      </c>
      <c r="C99" s="13" t="s">
        <v>175</v>
      </c>
      <c r="D99" s="14" t="s">
        <v>15</v>
      </c>
      <c r="E99" s="14" t="s">
        <v>16</v>
      </c>
      <c r="F99" s="15">
        <v>43609</v>
      </c>
      <c r="G99" s="16">
        <v>0.11</v>
      </c>
      <c r="H99" s="15"/>
      <c r="I99" s="16"/>
      <c r="J99" s="15"/>
      <c r="K99" s="16"/>
      <c r="L99" s="15"/>
      <c r="M99" s="63"/>
      <c r="N99" s="17"/>
      <c r="O99" s="16"/>
      <c r="P99" s="18">
        <f t="shared" si="1"/>
        <v>0.11</v>
      </c>
    </row>
    <row r="100" spans="2:16" x14ac:dyDescent="0.25">
      <c r="B100" s="12" t="s">
        <v>176</v>
      </c>
      <c r="C100" s="13" t="s">
        <v>177</v>
      </c>
      <c r="D100" s="14" t="s">
        <v>15</v>
      </c>
      <c r="E100" s="14" t="s">
        <v>16</v>
      </c>
      <c r="F100" s="15">
        <v>43594</v>
      </c>
      <c r="G100" s="16">
        <v>2.7</v>
      </c>
      <c r="H100" s="15"/>
      <c r="I100" s="16"/>
      <c r="J100" s="15"/>
      <c r="K100" s="16"/>
      <c r="L100" s="15"/>
      <c r="M100" s="63"/>
      <c r="N100" s="17"/>
      <c r="O100" s="16"/>
      <c r="P100" s="18">
        <f t="shared" si="1"/>
        <v>2.7</v>
      </c>
    </row>
    <row r="101" spans="2:16" x14ac:dyDescent="0.25">
      <c r="B101" s="12" t="s">
        <v>178</v>
      </c>
      <c r="C101" s="13" t="s">
        <v>179</v>
      </c>
      <c r="D101" s="14" t="s">
        <v>15</v>
      </c>
      <c r="E101" s="14" t="s">
        <v>16</v>
      </c>
      <c r="F101" s="15">
        <v>43593</v>
      </c>
      <c r="G101" s="16">
        <v>0.8</v>
      </c>
      <c r="H101" s="15"/>
      <c r="I101" s="16"/>
      <c r="J101" s="15"/>
      <c r="K101" s="16"/>
      <c r="L101" s="15"/>
      <c r="M101" s="63"/>
      <c r="N101" s="17"/>
      <c r="O101" s="16"/>
      <c r="P101" s="18">
        <f t="shared" si="1"/>
        <v>0.8</v>
      </c>
    </row>
    <row r="102" spans="2:16" x14ac:dyDescent="0.25">
      <c r="B102" s="12" t="s">
        <v>180</v>
      </c>
      <c r="C102" s="13" t="s">
        <v>181</v>
      </c>
      <c r="D102" s="14" t="s">
        <v>15</v>
      </c>
      <c r="E102" s="14" t="s">
        <v>16</v>
      </c>
      <c r="F102" s="15">
        <v>43601</v>
      </c>
      <c r="G102" s="16">
        <v>1.1499999999999999</v>
      </c>
      <c r="H102" s="15"/>
      <c r="I102" s="16"/>
      <c r="J102" s="15"/>
      <c r="K102" s="16"/>
      <c r="L102" s="15"/>
      <c r="M102" s="63"/>
      <c r="N102" s="17"/>
      <c r="O102" s="16"/>
      <c r="P102" s="18">
        <f t="shared" si="1"/>
        <v>1.1499999999999999</v>
      </c>
    </row>
    <row r="103" spans="2:16" x14ac:dyDescent="0.25">
      <c r="B103" s="12" t="s">
        <v>182</v>
      </c>
      <c r="C103" s="13" t="s">
        <v>183</v>
      </c>
      <c r="D103" s="14" t="s">
        <v>15</v>
      </c>
      <c r="E103" s="14" t="s">
        <v>16</v>
      </c>
      <c r="F103" s="15">
        <v>43553</v>
      </c>
      <c r="G103" s="16">
        <v>0.7</v>
      </c>
      <c r="H103" s="15"/>
      <c r="I103" s="16"/>
      <c r="J103" s="15"/>
      <c r="K103" s="16"/>
      <c r="L103" s="15"/>
      <c r="M103" s="63"/>
      <c r="N103" s="17"/>
      <c r="O103" s="16"/>
      <c r="P103" s="18">
        <f t="shared" si="1"/>
        <v>0.7</v>
      </c>
    </row>
    <row r="104" spans="2:16" x14ac:dyDescent="0.25">
      <c r="B104" s="12" t="s">
        <v>184</v>
      </c>
      <c r="C104" s="13" t="s">
        <v>185</v>
      </c>
      <c r="D104" s="14" t="s">
        <v>15</v>
      </c>
      <c r="E104" s="14" t="s">
        <v>77</v>
      </c>
      <c r="F104" s="15">
        <v>43524</v>
      </c>
      <c r="G104" s="16">
        <v>26.1</v>
      </c>
      <c r="H104" s="15">
        <v>43685</v>
      </c>
      <c r="I104" s="16">
        <v>42.47</v>
      </c>
      <c r="J104" s="15"/>
      <c r="K104" s="16"/>
      <c r="L104" s="15"/>
      <c r="M104" s="63"/>
      <c r="N104" s="17"/>
      <c r="O104" s="16"/>
      <c r="P104" s="18">
        <f t="shared" si="1"/>
        <v>68.569999999999993</v>
      </c>
    </row>
    <row r="105" spans="2:16" x14ac:dyDescent="0.25">
      <c r="B105" s="12" t="s">
        <v>186</v>
      </c>
      <c r="C105" s="13" t="s">
        <v>187</v>
      </c>
      <c r="D105" s="14" t="s">
        <v>27</v>
      </c>
      <c r="E105" s="14" t="s">
        <v>16</v>
      </c>
      <c r="F105" s="15">
        <v>43628</v>
      </c>
      <c r="G105" s="16">
        <v>1</v>
      </c>
      <c r="H105" s="15"/>
      <c r="I105" s="16"/>
      <c r="J105" s="15"/>
      <c r="K105" s="16"/>
      <c r="L105" s="15"/>
      <c r="M105" s="63"/>
      <c r="N105" s="17"/>
      <c r="O105" s="16"/>
      <c r="P105" s="18">
        <f t="shared" si="1"/>
        <v>1</v>
      </c>
    </row>
    <row r="106" spans="2:16" x14ac:dyDescent="0.25">
      <c r="B106" s="12" t="s">
        <v>188</v>
      </c>
      <c r="C106" s="13" t="s">
        <v>189</v>
      </c>
      <c r="D106" s="14" t="s">
        <v>15</v>
      </c>
      <c r="E106" s="14" t="s">
        <v>16</v>
      </c>
      <c r="F106" s="15"/>
      <c r="G106" s="16"/>
      <c r="H106" s="15"/>
      <c r="I106" s="16"/>
      <c r="J106" s="15"/>
      <c r="K106" s="16"/>
      <c r="L106" s="15"/>
      <c r="M106" s="63"/>
      <c r="N106" s="17"/>
      <c r="O106" s="16"/>
      <c r="P106" s="18">
        <f t="shared" si="1"/>
        <v>0</v>
      </c>
    </row>
    <row r="107" spans="2:16" x14ac:dyDescent="0.25">
      <c r="B107" s="12" t="s">
        <v>190</v>
      </c>
      <c r="C107" s="13" t="s">
        <v>191</v>
      </c>
      <c r="D107" s="14" t="s">
        <v>15</v>
      </c>
      <c r="E107" s="14" t="s">
        <v>16</v>
      </c>
      <c r="F107" s="15">
        <v>43595</v>
      </c>
      <c r="G107" s="16">
        <v>1.53</v>
      </c>
      <c r="H107" s="15">
        <v>43682</v>
      </c>
      <c r="I107" s="16">
        <v>0.77</v>
      </c>
      <c r="J107" s="15"/>
      <c r="K107" s="16"/>
      <c r="L107" s="15"/>
      <c r="M107" s="63"/>
      <c r="N107" s="17"/>
      <c r="O107" s="16"/>
      <c r="P107" s="18">
        <f t="shared" si="1"/>
        <v>2.2999999999999998</v>
      </c>
    </row>
    <row r="108" spans="2:16" x14ac:dyDescent="0.25">
      <c r="B108" s="19" t="s">
        <v>192</v>
      </c>
      <c r="C108" s="20" t="s">
        <v>193</v>
      </c>
      <c r="D108" s="21" t="s">
        <v>55</v>
      </c>
      <c r="E108" s="22" t="s">
        <v>56</v>
      </c>
      <c r="F108" s="23">
        <v>43510</v>
      </c>
      <c r="G108" s="24">
        <v>0.92749999999999999</v>
      </c>
      <c r="H108" s="23">
        <v>43601</v>
      </c>
      <c r="I108" s="24">
        <v>0.92749999999999999</v>
      </c>
      <c r="J108" s="23">
        <v>43692</v>
      </c>
      <c r="K108" s="24">
        <v>0.94499999999999995</v>
      </c>
      <c r="L108" s="23">
        <v>43783</v>
      </c>
      <c r="M108" s="77">
        <v>0.94499999999999995</v>
      </c>
      <c r="N108" s="25"/>
      <c r="O108" s="24"/>
      <c r="P108" s="26">
        <f t="shared" si="1"/>
        <v>3.7449999999999997</v>
      </c>
    </row>
    <row r="109" spans="2:16" x14ac:dyDescent="0.25">
      <c r="B109" s="12" t="s">
        <v>194</v>
      </c>
      <c r="C109" s="13" t="s">
        <v>195</v>
      </c>
      <c r="D109" s="14" t="s">
        <v>15</v>
      </c>
      <c r="E109" s="14" t="s">
        <v>16</v>
      </c>
      <c r="F109" s="15">
        <v>43600</v>
      </c>
      <c r="G109" s="16">
        <v>0.43</v>
      </c>
      <c r="H109" s="15"/>
      <c r="I109" s="16"/>
      <c r="J109" s="15"/>
      <c r="K109" s="16"/>
      <c r="L109" s="15"/>
      <c r="M109" s="63"/>
      <c r="N109" s="17"/>
      <c r="O109" s="16"/>
      <c r="P109" s="18">
        <f t="shared" si="1"/>
        <v>0.43</v>
      </c>
    </row>
    <row r="110" spans="2:16" x14ac:dyDescent="0.25">
      <c r="B110" s="12" t="s">
        <v>196</v>
      </c>
      <c r="C110" s="13" t="s">
        <v>197</v>
      </c>
      <c r="D110" s="14" t="s">
        <v>24</v>
      </c>
      <c r="E110" s="14" t="s">
        <v>16</v>
      </c>
      <c r="F110" s="15">
        <v>43607</v>
      </c>
      <c r="G110" s="16">
        <v>0.16</v>
      </c>
      <c r="H110" s="15">
        <v>43795</v>
      </c>
      <c r="I110" s="16">
        <v>0.15</v>
      </c>
      <c r="J110" s="15"/>
      <c r="K110" s="16"/>
      <c r="L110" s="15"/>
      <c r="M110" s="63"/>
      <c r="N110" s="17"/>
      <c r="O110" s="16"/>
      <c r="P110" s="18">
        <f t="shared" si="1"/>
        <v>0.31</v>
      </c>
    </row>
    <row r="111" spans="2:16" x14ac:dyDescent="0.25">
      <c r="B111" s="12" t="s">
        <v>198</v>
      </c>
      <c r="C111" s="13" t="s">
        <v>199</v>
      </c>
      <c r="D111" s="14" t="s">
        <v>15</v>
      </c>
      <c r="E111" s="14" t="s">
        <v>200</v>
      </c>
      <c r="F111" s="15">
        <v>43566</v>
      </c>
      <c r="G111" s="16">
        <v>4.25</v>
      </c>
      <c r="H111" s="15">
        <v>43748</v>
      </c>
      <c r="I111" s="16">
        <v>4.25</v>
      </c>
      <c r="J111" s="15"/>
      <c r="K111" s="16"/>
      <c r="L111" s="15"/>
      <c r="M111" s="63"/>
      <c r="N111" s="17"/>
      <c r="O111" s="16"/>
      <c r="P111" s="18">
        <f t="shared" si="1"/>
        <v>8.5</v>
      </c>
    </row>
    <row r="112" spans="2:16" x14ac:dyDescent="0.25">
      <c r="B112" s="12" t="s">
        <v>201</v>
      </c>
      <c r="C112" s="13" t="s">
        <v>202</v>
      </c>
      <c r="D112" s="14" t="s">
        <v>27</v>
      </c>
      <c r="E112" s="14" t="s">
        <v>16</v>
      </c>
      <c r="F112" s="15">
        <v>43614</v>
      </c>
      <c r="G112" s="16">
        <v>1.66</v>
      </c>
      <c r="H112" s="15"/>
      <c r="I112" s="16"/>
      <c r="J112" s="15"/>
      <c r="K112" s="16"/>
      <c r="L112" s="15"/>
      <c r="M112" s="63"/>
      <c r="N112" s="17"/>
      <c r="O112" s="16"/>
      <c r="P112" s="18">
        <f t="shared" si="1"/>
        <v>1.66</v>
      </c>
    </row>
    <row r="113" spans="2:16" x14ac:dyDescent="0.25">
      <c r="B113" s="12" t="s">
        <v>203</v>
      </c>
      <c r="C113" s="13" t="s">
        <v>204</v>
      </c>
      <c r="D113" s="14" t="s">
        <v>15</v>
      </c>
      <c r="E113" s="14" t="s">
        <v>16</v>
      </c>
      <c r="F113" s="15">
        <v>43559</v>
      </c>
      <c r="G113" s="16">
        <v>1.75</v>
      </c>
      <c r="H113" s="15"/>
      <c r="I113" s="16"/>
      <c r="J113" s="15"/>
      <c r="K113" s="16"/>
      <c r="L113" s="15"/>
      <c r="M113" s="63"/>
      <c r="N113" s="17"/>
      <c r="O113" s="16"/>
      <c r="P113" s="18">
        <f t="shared" si="1"/>
        <v>1.75</v>
      </c>
    </row>
    <row r="114" spans="2:16" x14ac:dyDescent="0.25">
      <c r="B114" s="12" t="s">
        <v>205</v>
      </c>
      <c r="C114" s="13" t="s">
        <v>206</v>
      </c>
      <c r="D114" s="14" t="s">
        <v>15</v>
      </c>
      <c r="E114" s="14" t="s">
        <v>16</v>
      </c>
      <c r="F114" s="15">
        <v>43647</v>
      </c>
      <c r="G114" s="16">
        <v>0.91800000000000004</v>
      </c>
      <c r="H114" s="15">
        <v>43818</v>
      </c>
      <c r="I114" s="16">
        <v>0.64</v>
      </c>
      <c r="J114" s="15"/>
      <c r="K114" s="16"/>
      <c r="L114" s="15"/>
      <c r="M114" s="63"/>
      <c r="N114" s="17"/>
      <c r="O114" s="16"/>
      <c r="P114" s="18">
        <f t="shared" si="1"/>
        <v>1.5580000000000001</v>
      </c>
    </row>
    <row r="115" spans="2:16" x14ac:dyDescent="0.25">
      <c r="B115" s="12" t="s">
        <v>207</v>
      </c>
      <c r="C115" s="13" t="s">
        <v>208</v>
      </c>
      <c r="D115" s="14" t="s">
        <v>15</v>
      </c>
      <c r="E115" s="14" t="s">
        <v>16</v>
      </c>
      <c r="F115" s="15">
        <v>43462</v>
      </c>
      <c r="G115" s="16">
        <v>0.7</v>
      </c>
      <c r="H115" s="15">
        <v>43644</v>
      </c>
      <c r="I115" s="16">
        <v>0.72699999999999998</v>
      </c>
      <c r="J115" s="15"/>
      <c r="K115" s="16"/>
      <c r="L115" s="15"/>
      <c r="M115" s="63"/>
      <c r="N115" s="17"/>
      <c r="O115" s="16"/>
      <c r="P115" s="18">
        <f t="shared" si="1"/>
        <v>1.427</v>
      </c>
    </row>
    <row r="116" spans="2:16" x14ac:dyDescent="0.25">
      <c r="B116" s="12" t="s">
        <v>209</v>
      </c>
      <c r="C116" s="13" t="s">
        <v>210</v>
      </c>
      <c r="D116" s="14" t="s">
        <v>15</v>
      </c>
      <c r="E116" s="14" t="s">
        <v>16</v>
      </c>
      <c r="F116" s="15">
        <v>43486</v>
      </c>
      <c r="G116" s="16">
        <v>0.14000000000000001</v>
      </c>
      <c r="H116" s="15">
        <v>43668</v>
      </c>
      <c r="I116" s="16">
        <v>0.14000000000000001</v>
      </c>
      <c r="J116" s="15"/>
      <c r="K116" s="16"/>
      <c r="L116" s="15"/>
      <c r="M116" s="63"/>
      <c r="N116" s="17"/>
      <c r="O116" s="16"/>
      <c r="P116" s="18">
        <f t="shared" si="1"/>
        <v>0.28000000000000003</v>
      </c>
    </row>
    <row r="117" spans="2:16" x14ac:dyDescent="0.25">
      <c r="B117" s="12" t="s">
        <v>211</v>
      </c>
      <c r="C117" s="13" t="s">
        <v>212</v>
      </c>
      <c r="D117" s="14" t="s">
        <v>24</v>
      </c>
      <c r="E117" s="14" t="s">
        <v>16</v>
      </c>
      <c r="F117" s="29">
        <v>43606</v>
      </c>
      <c r="G117" s="71">
        <f>0.38*0.97191651</f>
        <v>0.3693282738</v>
      </c>
      <c r="H117" s="15"/>
      <c r="I117" s="16"/>
      <c r="J117" s="15"/>
      <c r="K117" s="16"/>
      <c r="L117" s="15"/>
      <c r="M117" s="63"/>
      <c r="N117" s="17"/>
      <c r="O117" s="16"/>
      <c r="P117" s="18">
        <f t="shared" si="1"/>
        <v>0.3693282738</v>
      </c>
    </row>
    <row r="118" spans="2:16" x14ac:dyDescent="0.25">
      <c r="B118" s="12" t="s">
        <v>213</v>
      </c>
      <c r="C118" s="13" t="s">
        <v>214</v>
      </c>
      <c r="D118" s="14" t="s">
        <v>15</v>
      </c>
      <c r="E118" s="14" t="s">
        <v>16</v>
      </c>
      <c r="F118" s="15">
        <v>43605</v>
      </c>
      <c r="G118" s="16">
        <v>0.41</v>
      </c>
      <c r="H118" s="15">
        <v>43731</v>
      </c>
      <c r="I118" s="16">
        <v>0.43</v>
      </c>
      <c r="J118" s="15"/>
      <c r="K118" s="16"/>
      <c r="L118" s="15"/>
      <c r="M118" s="63"/>
      <c r="N118" s="17"/>
      <c r="O118" s="16"/>
      <c r="P118" s="18">
        <f t="shared" si="1"/>
        <v>0.84</v>
      </c>
    </row>
    <row r="119" spans="2:16" x14ac:dyDescent="0.25">
      <c r="B119" s="12" t="s">
        <v>215</v>
      </c>
      <c r="C119" s="13" t="s">
        <v>216</v>
      </c>
      <c r="D119" s="14" t="s">
        <v>15</v>
      </c>
      <c r="E119" s="14" t="s">
        <v>200</v>
      </c>
      <c r="F119" s="15">
        <v>43552</v>
      </c>
      <c r="G119" s="16">
        <v>1</v>
      </c>
      <c r="H119" s="15"/>
      <c r="I119" s="16"/>
      <c r="J119" s="15"/>
      <c r="K119" s="16"/>
      <c r="L119" s="15"/>
      <c r="M119" s="63"/>
      <c r="N119" s="17"/>
      <c r="O119" s="16"/>
      <c r="P119" s="18">
        <f t="shared" si="1"/>
        <v>1</v>
      </c>
    </row>
    <row r="120" spans="2:16" x14ac:dyDescent="0.25">
      <c r="B120" s="12" t="s">
        <v>632</v>
      </c>
      <c r="C120" s="13" t="s">
        <v>218</v>
      </c>
      <c r="D120" s="14" t="s">
        <v>24</v>
      </c>
      <c r="E120" s="14" t="s">
        <v>16</v>
      </c>
      <c r="F120" s="15">
        <v>43606</v>
      </c>
      <c r="G120" s="16">
        <v>2.04</v>
      </c>
      <c r="H120" s="15"/>
      <c r="I120" s="16"/>
      <c r="J120" s="15"/>
      <c r="K120" s="16"/>
      <c r="L120" s="15"/>
      <c r="M120" s="63"/>
      <c r="N120" s="17"/>
      <c r="O120" s="16"/>
      <c r="P120" s="18">
        <f t="shared" si="1"/>
        <v>2.04</v>
      </c>
    </row>
    <row r="121" spans="2:16" x14ac:dyDescent="0.25">
      <c r="B121" s="12" t="s">
        <v>219</v>
      </c>
      <c r="C121" s="13" t="s">
        <v>220</v>
      </c>
      <c r="D121" s="14" t="s">
        <v>24</v>
      </c>
      <c r="E121" s="14" t="s">
        <v>16</v>
      </c>
      <c r="F121" s="15">
        <v>43790</v>
      </c>
      <c r="G121" s="16">
        <v>1.27</v>
      </c>
      <c r="H121" s="15"/>
      <c r="I121" s="16"/>
      <c r="J121" s="15"/>
      <c r="K121" s="16"/>
      <c r="L121" s="15"/>
      <c r="M121" s="63"/>
      <c r="N121" s="17"/>
      <c r="O121" s="16"/>
      <c r="P121" s="18">
        <f t="shared" si="1"/>
        <v>1.27</v>
      </c>
    </row>
    <row r="122" spans="2:16" x14ac:dyDescent="0.25">
      <c r="B122" s="12" t="s">
        <v>621</v>
      </c>
      <c r="C122" s="13" t="s">
        <v>450</v>
      </c>
      <c r="D122" s="14" t="s">
        <v>15</v>
      </c>
      <c r="E122" s="14" t="s">
        <v>56</v>
      </c>
      <c r="F122" s="15">
        <v>43515</v>
      </c>
      <c r="G122" s="16">
        <v>0.23</v>
      </c>
      <c r="H122" s="15">
        <v>43601</v>
      </c>
      <c r="I122" s="16">
        <v>0.26</v>
      </c>
      <c r="J122" s="15">
        <v>43696</v>
      </c>
      <c r="K122" s="16">
        <v>0.18</v>
      </c>
      <c r="L122" s="15">
        <v>43787</v>
      </c>
      <c r="M122" s="63">
        <v>0.26</v>
      </c>
      <c r="N122" s="17"/>
      <c r="O122" s="16"/>
      <c r="P122" s="18">
        <f>G122+I122+K122+M122+O122</f>
        <v>0.92999999999999994</v>
      </c>
    </row>
    <row r="123" spans="2:16" x14ac:dyDescent="0.25">
      <c r="B123" s="12" t="s">
        <v>221</v>
      </c>
      <c r="C123" s="13" t="s">
        <v>222</v>
      </c>
      <c r="D123" s="14" t="s">
        <v>15</v>
      </c>
      <c r="E123" s="14" t="s">
        <v>56</v>
      </c>
      <c r="F123" s="15">
        <v>43468</v>
      </c>
      <c r="G123" s="16">
        <v>0.14000000000000001</v>
      </c>
      <c r="H123" s="15">
        <v>43643</v>
      </c>
      <c r="I123" s="16">
        <v>0.32500000000000001</v>
      </c>
      <c r="J123" s="15"/>
      <c r="K123" s="16"/>
      <c r="L123" s="15"/>
      <c r="M123" s="63"/>
      <c r="N123" s="17"/>
      <c r="O123" s="16"/>
      <c r="P123" s="18">
        <f t="shared" si="1"/>
        <v>0.46500000000000002</v>
      </c>
    </row>
    <row r="124" spans="2:16" x14ac:dyDescent="0.25">
      <c r="B124" s="19" t="s">
        <v>223</v>
      </c>
      <c r="C124" s="20" t="s">
        <v>224</v>
      </c>
      <c r="D124" s="21" t="s">
        <v>55</v>
      </c>
      <c r="E124" s="22" t="s">
        <v>56</v>
      </c>
      <c r="F124" s="23">
        <v>43504</v>
      </c>
      <c r="G124" s="24">
        <v>0.82</v>
      </c>
      <c r="H124" s="23">
        <v>43595</v>
      </c>
      <c r="I124" s="24">
        <v>0.87</v>
      </c>
      <c r="J124" s="23">
        <v>43689</v>
      </c>
      <c r="K124" s="24">
        <v>0.87</v>
      </c>
      <c r="L124" s="23">
        <v>43777</v>
      </c>
      <c r="M124" s="24">
        <v>0.87</v>
      </c>
      <c r="N124" s="25"/>
      <c r="O124" s="24"/>
      <c r="P124" s="26">
        <f t="shared" si="1"/>
        <v>3.43</v>
      </c>
    </row>
    <row r="125" spans="2:16" x14ac:dyDescent="0.25">
      <c r="B125" s="12" t="s">
        <v>225</v>
      </c>
      <c r="C125" s="13" t="s">
        <v>226</v>
      </c>
      <c r="D125" s="14" t="s">
        <v>15</v>
      </c>
      <c r="E125" s="14" t="s">
        <v>16</v>
      </c>
      <c r="F125" s="15">
        <v>43599</v>
      </c>
      <c r="G125" s="16">
        <v>0.311</v>
      </c>
      <c r="H125" s="15">
        <v>43775</v>
      </c>
      <c r="I125" s="16">
        <v>0.4078</v>
      </c>
      <c r="J125" s="15"/>
      <c r="K125" s="16"/>
      <c r="L125" s="15"/>
      <c r="M125" s="63"/>
      <c r="N125" s="17"/>
      <c r="O125" s="16"/>
      <c r="P125" s="18">
        <f t="shared" si="1"/>
        <v>0.71879999999999999</v>
      </c>
    </row>
    <row r="126" spans="2:16" x14ac:dyDescent="0.25">
      <c r="B126" s="12" t="s">
        <v>628</v>
      </c>
      <c r="C126" s="13" t="s">
        <v>629</v>
      </c>
      <c r="D126" s="14" t="s">
        <v>15</v>
      </c>
      <c r="E126" s="14" t="s">
        <v>16</v>
      </c>
      <c r="F126" s="29">
        <v>43578</v>
      </c>
      <c r="G126" s="71">
        <f>0.65*0.90275284</f>
        <v>0.58678934599999999</v>
      </c>
      <c r="H126" s="15"/>
      <c r="I126" s="16"/>
      <c r="J126" s="15"/>
      <c r="K126" s="16"/>
      <c r="L126" s="15"/>
      <c r="M126" s="63"/>
      <c r="N126" s="17"/>
      <c r="O126" s="16"/>
      <c r="P126" s="18">
        <f t="shared" si="1"/>
        <v>0.58678934599999999</v>
      </c>
    </row>
    <row r="127" spans="2:16" x14ac:dyDescent="0.25">
      <c r="B127" s="12" t="s">
        <v>686</v>
      </c>
      <c r="C127" s="13" t="s">
        <v>685</v>
      </c>
      <c r="D127" s="14" t="s">
        <v>15</v>
      </c>
      <c r="E127" s="14" t="s">
        <v>16</v>
      </c>
      <c r="F127" s="29">
        <v>43578</v>
      </c>
      <c r="G127" s="71">
        <f>0.65*0.90275284</f>
        <v>0.58678934599999999</v>
      </c>
      <c r="H127" s="15"/>
      <c r="I127" s="16"/>
      <c r="J127" s="15"/>
      <c r="K127" s="16"/>
      <c r="L127" s="15"/>
      <c r="M127" s="63"/>
      <c r="N127" s="17"/>
      <c r="O127" s="16"/>
      <c r="P127" s="18">
        <f t="shared" ref="P127" si="2">G127+I127+K127+M127+O127</f>
        <v>0.58678934599999999</v>
      </c>
    </row>
    <row r="128" spans="2:16" x14ac:dyDescent="0.25">
      <c r="B128" s="19" t="s">
        <v>227</v>
      </c>
      <c r="C128" s="20" t="s">
        <v>228</v>
      </c>
      <c r="D128" s="21" t="s">
        <v>55</v>
      </c>
      <c r="E128" s="22" t="s">
        <v>56</v>
      </c>
      <c r="F128" s="23">
        <v>43495</v>
      </c>
      <c r="G128" s="24">
        <v>0.15</v>
      </c>
      <c r="H128" s="23">
        <v>43608</v>
      </c>
      <c r="I128" s="24">
        <v>0.15</v>
      </c>
      <c r="J128" s="23">
        <v>43668</v>
      </c>
      <c r="K128" s="24">
        <v>0.15</v>
      </c>
      <c r="L128" s="23">
        <v>43759</v>
      </c>
      <c r="M128" s="77">
        <v>0.15</v>
      </c>
      <c r="N128" s="25"/>
      <c r="O128" s="24"/>
      <c r="P128" s="26">
        <f t="shared" si="1"/>
        <v>0.6</v>
      </c>
    </row>
    <row r="129" spans="1:17" x14ac:dyDescent="0.25">
      <c r="B129" s="12" t="s">
        <v>229</v>
      </c>
      <c r="C129" s="13" t="s">
        <v>230</v>
      </c>
      <c r="D129" s="14" t="s">
        <v>15</v>
      </c>
      <c r="E129" s="14" t="s">
        <v>16</v>
      </c>
      <c r="F129" s="15">
        <v>43551</v>
      </c>
      <c r="G129" s="16">
        <v>1.1000000000000001</v>
      </c>
      <c r="H129" s="15"/>
      <c r="I129" s="16"/>
      <c r="J129" s="15"/>
      <c r="K129" s="16"/>
      <c r="L129" s="15"/>
      <c r="M129" s="63"/>
      <c r="N129" s="17"/>
      <c r="O129" s="16"/>
      <c r="P129" s="18">
        <f t="shared" si="1"/>
        <v>1.1000000000000001</v>
      </c>
    </row>
    <row r="130" spans="1:17" x14ac:dyDescent="0.25">
      <c r="A130" s="33"/>
      <c r="B130" s="37" t="s">
        <v>231</v>
      </c>
      <c r="C130" s="13" t="s">
        <v>232</v>
      </c>
      <c r="D130" s="14" t="s">
        <v>15</v>
      </c>
      <c r="E130" s="14" t="s">
        <v>16</v>
      </c>
      <c r="F130" s="15">
        <v>43605</v>
      </c>
      <c r="G130" s="16">
        <v>0.8</v>
      </c>
      <c r="H130" s="15"/>
      <c r="I130" s="16"/>
      <c r="J130" s="15"/>
      <c r="K130" s="16"/>
      <c r="L130" s="15"/>
      <c r="M130" s="63"/>
      <c r="N130" s="17"/>
      <c r="O130" s="16"/>
      <c r="P130" s="18">
        <f t="shared" si="1"/>
        <v>0.8</v>
      </c>
      <c r="Q130" s="36"/>
    </row>
    <row r="131" spans="1:17" x14ac:dyDescent="0.25">
      <c r="A131" s="33"/>
      <c r="B131" s="37" t="s">
        <v>233</v>
      </c>
      <c r="C131" s="13" t="s">
        <v>234</v>
      </c>
      <c r="D131" s="14" t="s">
        <v>15</v>
      </c>
      <c r="E131" s="14" t="s">
        <v>16</v>
      </c>
      <c r="F131" s="15"/>
      <c r="G131" s="16"/>
      <c r="H131" s="15"/>
      <c r="I131" s="16"/>
      <c r="J131" s="15"/>
      <c r="K131" s="16"/>
      <c r="L131" s="15"/>
      <c r="M131" s="63"/>
      <c r="N131" s="17"/>
      <c r="O131" s="16"/>
      <c r="P131" s="18">
        <f t="shared" si="1"/>
        <v>0</v>
      </c>
      <c r="Q131" s="36"/>
    </row>
    <row r="132" spans="1:17" x14ac:dyDescent="0.25">
      <c r="A132" s="33"/>
      <c r="B132" s="37" t="s">
        <v>235</v>
      </c>
      <c r="C132" s="13" t="s">
        <v>236</v>
      </c>
      <c r="D132" s="14" t="s">
        <v>237</v>
      </c>
      <c r="E132" s="14" t="s">
        <v>16</v>
      </c>
      <c r="F132" s="15">
        <v>43592</v>
      </c>
      <c r="G132" s="16">
        <v>0.35749999999999998</v>
      </c>
      <c r="H132" s="15">
        <v>43714</v>
      </c>
      <c r="I132" s="16">
        <v>0.31624999999999998</v>
      </c>
      <c r="J132" s="15"/>
      <c r="K132" s="16"/>
      <c r="L132" s="15"/>
      <c r="M132" s="63"/>
      <c r="N132" s="17"/>
      <c r="O132" s="16"/>
      <c r="P132" s="18">
        <f t="shared" si="1"/>
        <v>0.67374999999999996</v>
      </c>
      <c r="Q132" s="36"/>
    </row>
    <row r="133" spans="1:17" x14ac:dyDescent="0.25">
      <c r="A133" s="33"/>
      <c r="B133" s="37" t="s">
        <v>623</v>
      </c>
      <c r="C133" s="13" t="s">
        <v>239</v>
      </c>
      <c r="D133" s="14" t="s">
        <v>15</v>
      </c>
      <c r="E133" s="14" t="s">
        <v>16</v>
      </c>
      <c r="F133" s="15">
        <v>43542</v>
      </c>
      <c r="G133" s="16">
        <v>0.56999999999999995</v>
      </c>
      <c r="H133" s="15">
        <v>43675</v>
      </c>
      <c r="I133" s="16">
        <v>0.29399999999999998</v>
      </c>
      <c r="J133" s="15">
        <v>43777</v>
      </c>
      <c r="K133" s="16">
        <v>0.47299999999999998</v>
      </c>
      <c r="L133" s="15"/>
      <c r="M133" s="63"/>
      <c r="N133" s="17"/>
      <c r="O133" s="16"/>
      <c r="P133" s="18">
        <f t="shared" si="1"/>
        <v>1.3369999999999997</v>
      </c>
      <c r="Q133" s="36"/>
    </row>
    <row r="134" spans="1:17" x14ac:dyDescent="0.25">
      <c r="A134" s="33"/>
      <c r="B134" s="37" t="s">
        <v>242</v>
      </c>
      <c r="C134" s="13" t="s">
        <v>243</v>
      </c>
      <c r="D134" s="14" t="s">
        <v>15</v>
      </c>
      <c r="E134" s="14" t="s">
        <v>21</v>
      </c>
      <c r="F134" s="15">
        <v>43560</v>
      </c>
      <c r="G134" s="16">
        <v>10.8</v>
      </c>
      <c r="H134" s="15"/>
      <c r="I134" s="16"/>
      <c r="J134" s="15"/>
      <c r="K134" s="16"/>
      <c r="L134" s="15"/>
      <c r="M134" s="63"/>
      <c r="N134" s="17"/>
      <c r="O134" s="16"/>
      <c r="P134" s="18">
        <f t="shared" si="1"/>
        <v>10.8</v>
      </c>
      <c r="Q134" s="36"/>
    </row>
    <row r="135" spans="1:17" x14ac:dyDescent="0.25">
      <c r="A135" s="33"/>
      <c r="B135" s="38" t="s">
        <v>240</v>
      </c>
      <c r="C135" s="20" t="s">
        <v>241</v>
      </c>
      <c r="D135" s="21" t="s">
        <v>55</v>
      </c>
      <c r="E135" s="22" t="s">
        <v>56</v>
      </c>
      <c r="F135" s="23">
        <v>43532</v>
      </c>
      <c r="G135" s="24">
        <v>0.01</v>
      </c>
      <c r="H135" s="23">
        <v>43644</v>
      </c>
      <c r="I135" s="24">
        <v>0.01</v>
      </c>
      <c r="J135" s="23">
        <v>43721</v>
      </c>
      <c r="K135" s="24">
        <v>0.01</v>
      </c>
      <c r="L135" s="23">
        <v>43819</v>
      </c>
      <c r="M135" s="77">
        <v>0.01</v>
      </c>
      <c r="N135" s="25"/>
      <c r="O135" s="24"/>
      <c r="P135" s="26">
        <f t="shared" si="1"/>
        <v>0.04</v>
      </c>
      <c r="Q135" s="36"/>
    </row>
    <row r="136" spans="1:17" x14ac:dyDescent="0.25">
      <c r="B136" s="19" t="s">
        <v>246</v>
      </c>
      <c r="C136" s="20" t="s">
        <v>247</v>
      </c>
      <c r="D136" s="21" t="s">
        <v>55</v>
      </c>
      <c r="E136" s="22" t="s">
        <v>56</v>
      </c>
      <c r="F136" s="23">
        <v>43531</v>
      </c>
      <c r="G136" s="24">
        <v>0.38</v>
      </c>
      <c r="H136" s="23">
        <v>43622</v>
      </c>
      <c r="I136" s="24">
        <v>0.38</v>
      </c>
      <c r="J136" s="23">
        <v>43713</v>
      </c>
      <c r="K136" s="24">
        <v>0.38</v>
      </c>
      <c r="L136" s="23">
        <v>43804</v>
      </c>
      <c r="M136" s="77">
        <v>0.38</v>
      </c>
      <c r="N136" s="25"/>
      <c r="O136" s="24"/>
      <c r="P136" s="26">
        <f t="shared" si="1"/>
        <v>1.52</v>
      </c>
    </row>
    <row r="137" spans="1:17" x14ac:dyDescent="0.25">
      <c r="B137" s="19" t="s">
        <v>567</v>
      </c>
      <c r="C137" s="20" t="s">
        <v>594</v>
      </c>
      <c r="D137" s="21" t="s">
        <v>55</v>
      </c>
      <c r="E137" s="22" t="s">
        <v>56</v>
      </c>
      <c r="F137" s="23">
        <v>43538</v>
      </c>
      <c r="G137" s="24">
        <v>0.63</v>
      </c>
      <c r="H137" s="23">
        <v>43629</v>
      </c>
      <c r="I137" s="24">
        <v>0.63</v>
      </c>
      <c r="J137" s="23">
        <v>43720</v>
      </c>
      <c r="K137" s="24">
        <v>0.63</v>
      </c>
      <c r="L137" s="23">
        <v>43811</v>
      </c>
      <c r="M137" s="77">
        <v>0.63</v>
      </c>
      <c r="N137" s="25"/>
      <c r="O137" s="24"/>
      <c r="P137" s="26">
        <f t="shared" si="1"/>
        <v>2.52</v>
      </c>
    </row>
    <row r="138" spans="1:17" x14ac:dyDescent="0.25">
      <c r="B138" s="12" t="s">
        <v>248</v>
      </c>
      <c r="C138" s="13" t="s">
        <v>249</v>
      </c>
      <c r="D138" s="14" t="s">
        <v>15</v>
      </c>
      <c r="E138" s="14" t="s">
        <v>21</v>
      </c>
      <c r="F138" s="15">
        <v>43556</v>
      </c>
      <c r="G138" s="16">
        <v>60</v>
      </c>
      <c r="H138" s="15"/>
      <c r="I138" s="16"/>
      <c r="J138" s="15"/>
      <c r="K138" s="16"/>
      <c r="L138" s="15"/>
      <c r="M138" s="63"/>
      <c r="N138" s="17"/>
      <c r="O138" s="16"/>
      <c r="P138" s="18">
        <f t="shared" si="1"/>
        <v>60</v>
      </c>
    </row>
    <row r="139" spans="1:17" x14ac:dyDescent="0.25">
      <c r="B139" s="12" t="s">
        <v>250</v>
      </c>
      <c r="C139" s="13" t="s">
        <v>251</v>
      </c>
      <c r="D139" s="14" t="s">
        <v>15</v>
      </c>
      <c r="E139" s="14" t="s">
        <v>77</v>
      </c>
      <c r="F139" s="15">
        <v>43517</v>
      </c>
      <c r="G139" s="28">
        <v>23</v>
      </c>
      <c r="H139" s="15">
        <v>43601</v>
      </c>
      <c r="I139" s="16">
        <v>19</v>
      </c>
      <c r="J139" s="15">
        <v>43685</v>
      </c>
      <c r="K139" s="16">
        <v>19</v>
      </c>
      <c r="L139" s="15">
        <v>43783</v>
      </c>
      <c r="M139" s="16">
        <v>19</v>
      </c>
      <c r="N139" s="17"/>
      <c r="O139" s="16"/>
      <c r="P139" s="18">
        <f t="shared" si="1"/>
        <v>80</v>
      </c>
    </row>
    <row r="140" spans="1:17" x14ac:dyDescent="0.25">
      <c r="B140" s="12" t="s">
        <v>252</v>
      </c>
      <c r="C140" s="13" t="s">
        <v>253</v>
      </c>
      <c r="D140" s="14" t="s">
        <v>15</v>
      </c>
      <c r="E140" s="14" t="s">
        <v>56</v>
      </c>
      <c r="F140" s="15">
        <v>43580</v>
      </c>
      <c r="G140" s="16">
        <v>0.1</v>
      </c>
      <c r="H140" s="15">
        <v>43713</v>
      </c>
      <c r="I140" s="16">
        <v>0.1</v>
      </c>
      <c r="J140" s="15"/>
      <c r="K140" s="16"/>
      <c r="L140" s="15"/>
      <c r="M140" s="63"/>
      <c r="N140" s="17"/>
      <c r="O140" s="16"/>
      <c r="P140" s="18">
        <f t="shared" si="1"/>
        <v>0.2</v>
      </c>
    </row>
    <row r="141" spans="1:17" x14ac:dyDescent="0.25">
      <c r="B141" s="19" t="s">
        <v>570</v>
      </c>
      <c r="C141" s="20" t="s">
        <v>597</v>
      </c>
      <c r="D141" s="21" t="s">
        <v>55</v>
      </c>
      <c r="E141" s="22" t="s">
        <v>56</v>
      </c>
      <c r="F141" s="23">
        <v>43523</v>
      </c>
      <c r="G141" s="24">
        <v>0.8</v>
      </c>
      <c r="H141" s="23">
        <v>43614</v>
      </c>
      <c r="I141" s="24">
        <v>0.85</v>
      </c>
      <c r="J141" s="23">
        <v>43706</v>
      </c>
      <c r="K141" s="24">
        <v>1.25</v>
      </c>
      <c r="L141" s="23">
        <v>43798</v>
      </c>
      <c r="M141" s="77">
        <v>1.25</v>
      </c>
      <c r="N141" s="25"/>
      <c r="O141" s="24"/>
      <c r="P141" s="26">
        <f t="shared" ref="P141:P203" si="3">G141+I141+K141+M141+O141</f>
        <v>4.1500000000000004</v>
      </c>
    </row>
    <row r="142" spans="1:17" x14ac:dyDescent="0.25">
      <c r="B142" s="12" t="s">
        <v>254</v>
      </c>
      <c r="C142" s="13" t="s">
        <v>255</v>
      </c>
      <c r="D142" s="14" t="s">
        <v>27</v>
      </c>
      <c r="E142" s="14" t="s">
        <v>16</v>
      </c>
      <c r="F142" s="15">
        <v>43585</v>
      </c>
      <c r="G142" s="16">
        <v>3.07</v>
      </c>
      <c r="H142" s="15"/>
      <c r="I142" s="16"/>
      <c r="J142" s="15"/>
      <c r="K142" s="16"/>
      <c r="L142" s="15"/>
      <c r="M142" s="63"/>
      <c r="N142" s="17"/>
      <c r="O142" s="16"/>
      <c r="P142" s="18">
        <f t="shared" si="3"/>
        <v>3.07</v>
      </c>
    </row>
    <row r="143" spans="1:17" x14ac:dyDescent="0.25">
      <c r="B143" s="12" t="s">
        <v>256</v>
      </c>
      <c r="C143" s="13" t="s">
        <v>257</v>
      </c>
      <c r="D143" s="14" t="s">
        <v>15</v>
      </c>
      <c r="E143" s="14" t="s">
        <v>16</v>
      </c>
      <c r="F143" s="15">
        <v>43584</v>
      </c>
      <c r="G143" s="16">
        <v>1.01</v>
      </c>
      <c r="H143" s="15">
        <v>43677</v>
      </c>
      <c r="I143" s="16">
        <v>0.64</v>
      </c>
      <c r="J143" s="15"/>
      <c r="K143" s="16"/>
      <c r="L143" s="15"/>
      <c r="M143" s="63"/>
      <c r="N143" s="17"/>
      <c r="O143" s="16"/>
      <c r="P143" s="18">
        <f t="shared" si="3"/>
        <v>1.65</v>
      </c>
    </row>
    <row r="144" spans="1:17" x14ac:dyDescent="0.25">
      <c r="B144" s="12" t="s">
        <v>258</v>
      </c>
      <c r="C144" s="13" t="s">
        <v>259</v>
      </c>
      <c r="D144" s="14" t="s">
        <v>15</v>
      </c>
      <c r="E144" s="14" t="s">
        <v>16</v>
      </c>
      <c r="F144" s="15">
        <v>43564</v>
      </c>
      <c r="G144" s="16">
        <v>1.85</v>
      </c>
      <c r="H144" s="15"/>
      <c r="I144" s="16"/>
      <c r="J144" s="15"/>
      <c r="K144" s="16"/>
      <c r="L144" s="15"/>
      <c r="M144" s="63"/>
      <c r="N144" s="17"/>
      <c r="O144" s="16"/>
      <c r="P144" s="18">
        <f t="shared" si="3"/>
        <v>1.85</v>
      </c>
    </row>
    <row r="145" spans="2:16" x14ac:dyDescent="0.25">
      <c r="B145" s="12" t="s">
        <v>260</v>
      </c>
      <c r="C145" s="13" t="s">
        <v>261</v>
      </c>
      <c r="D145" s="14" t="s">
        <v>15</v>
      </c>
      <c r="E145" s="14" t="s">
        <v>200</v>
      </c>
      <c r="F145" s="15">
        <v>43593</v>
      </c>
      <c r="G145" s="16">
        <v>4.9000000000000004</v>
      </c>
      <c r="H145" s="15">
        <v>43780</v>
      </c>
      <c r="I145" s="16">
        <v>4.8499999999999996</v>
      </c>
      <c r="J145" s="15"/>
      <c r="K145" s="16"/>
      <c r="L145" s="15"/>
      <c r="M145" s="63"/>
      <c r="N145" s="17"/>
      <c r="O145" s="16"/>
      <c r="P145" s="18">
        <f t="shared" si="3"/>
        <v>9.75</v>
      </c>
    </row>
    <row r="146" spans="2:16" x14ac:dyDescent="0.25">
      <c r="B146" s="12" t="s">
        <v>626</v>
      </c>
      <c r="C146" s="13" t="s">
        <v>627</v>
      </c>
      <c r="D146" s="14" t="s">
        <v>24</v>
      </c>
      <c r="E146" s="14" t="s">
        <v>16</v>
      </c>
      <c r="F146" s="15">
        <v>43516</v>
      </c>
      <c r="G146" s="16">
        <v>1.5</v>
      </c>
      <c r="H146" s="15">
        <v>43623</v>
      </c>
      <c r="I146" s="16">
        <v>3.05</v>
      </c>
      <c r="J146" s="15"/>
      <c r="K146" s="16"/>
      <c r="L146" s="15"/>
      <c r="M146" s="63"/>
      <c r="N146" s="17"/>
      <c r="O146" s="16"/>
      <c r="P146" s="18">
        <f>G146+I146+K146+M146+O146</f>
        <v>4.55</v>
      </c>
    </row>
    <row r="147" spans="2:16" x14ac:dyDescent="0.25">
      <c r="B147" s="19" t="s">
        <v>262</v>
      </c>
      <c r="C147" s="20" t="s">
        <v>263</v>
      </c>
      <c r="D147" s="21" t="s">
        <v>55</v>
      </c>
      <c r="E147" s="22" t="s">
        <v>56</v>
      </c>
      <c r="F147" s="23">
        <v>43537</v>
      </c>
      <c r="G147" s="24">
        <v>1.36</v>
      </c>
      <c r="H147" s="23">
        <v>43621</v>
      </c>
      <c r="I147" s="24">
        <v>1.36</v>
      </c>
      <c r="J147" s="23">
        <v>43712</v>
      </c>
      <c r="K147" s="24">
        <v>1.36</v>
      </c>
      <c r="L147" s="23">
        <v>43803</v>
      </c>
      <c r="M147" s="77">
        <v>1.36</v>
      </c>
      <c r="N147" s="25"/>
      <c r="O147" s="24"/>
      <c r="P147" s="26">
        <f t="shared" si="3"/>
        <v>5.44</v>
      </c>
    </row>
    <row r="148" spans="2:16" x14ac:dyDescent="0.25">
      <c r="B148" s="19" t="s">
        <v>683</v>
      </c>
      <c r="C148" s="20" t="s">
        <v>592</v>
      </c>
      <c r="D148" s="21" t="s">
        <v>55</v>
      </c>
      <c r="E148" s="22" t="s">
        <v>56</v>
      </c>
      <c r="F148" s="23">
        <v>43517</v>
      </c>
      <c r="G148" s="24">
        <v>0.86</v>
      </c>
      <c r="H148" s="23">
        <v>43608</v>
      </c>
      <c r="I148" s="24">
        <v>0.82</v>
      </c>
      <c r="J148" s="23">
        <v>43692</v>
      </c>
      <c r="K148" s="24">
        <v>0.82</v>
      </c>
      <c r="L148" s="23">
        <v>43783</v>
      </c>
      <c r="M148" s="77">
        <v>0.9</v>
      </c>
      <c r="N148" s="25"/>
      <c r="O148" s="24"/>
      <c r="P148" s="26">
        <f t="shared" si="3"/>
        <v>3.4</v>
      </c>
    </row>
    <row r="149" spans="2:16" x14ac:dyDescent="0.25">
      <c r="B149" s="12" t="s">
        <v>264</v>
      </c>
      <c r="C149" s="13" t="s">
        <v>265</v>
      </c>
      <c r="D149" s="14" t="s">
        <v>15</v>
      </c>
      <c r="E149" s="14" t="s">
        <v>56</v>
      </c>
      <c r="F149" s="15">
        <v>43517</v>
      </c>
      <c r="G149" s="16">
        <v>0.21</v>
      </c>
      <c r="H149" s="15">
        <v>43601</v>
      </c>
      <c r="I149" s="16">
        <v>0.1</v>
      </c>
      <c r="J149" s="15">
        <v>43692</v>
      </c>
      <c r="K149" s="16">
        <v>0.1</v>
      </c>
      <c r="L149" s="15">
        <v>43748</v>
      </c>
      <c r="M149" s="16">
        <v>0.1</v>
      </c>
      <c r="N149" s="17"/>
      <c r="O149" s="16"/>
      <c r="P149" s="18">
        <f t="shared" si="3"/>
        <v>0.51</v>
      </c>
    </row>
    <row r="150" spans="2:16" x14ac:dyDescent="0.25">
      <c r="B150" s="12" t="s">
        <v>266</v>
      </c>
      <c r="C150" s="13" t="s">
        <v>267</v>
      </c>
      <c r="D150" s="14" t="s">
        <v>15</v>
      </c>
      <c r="E150" s="14" t="s">
        <v>16</v>
      </c>
      <c r="F150" s="15">
        <v>43474</v>
      </c>
      <c r="G150" s="16">
        <v>0.151</v>
      </c>
      <c r="H150" s="15">
        <v>43650</v>
      </c>
      <c r="I150" s="16">
        <v>0.2</v>
      </c>
      <c r="J150" s="15"/>
      <c r="K150" s="16"/>
      <c r="L150" s="15"/>
      <c r="M150" s="63"/>
      <c r="N150" s="17"/>
      <c r="O150" s="16"/>
      <c r="P150" s="18">
        <f t="shared" si="3"/>
        <v>0.35099999999999998</v>
      </c>
    </row>
    <row r="151" spans="2:16" x14ac:dyDescent="0.25">
      <c r="B151" s="19" t="s">
        <v>553</v>
      </c>
      <c r="C151" s="20" t="s">
        <v>580</v>
      </c>
      <c r="D151" s="21" t="s">
        <v>55</v>
      </c>
      <c r="E151" s="22" t="s">
        <v>56</v>
      </c>
      <c r="F151" s="23">
        <v>43503</v>
      </c>
      <c r="G151" s="24">
        <v>1.57</v>
      </c>
      <c r="H151" s="23">
        <v>43594</v>
      </c>
      <c r="I151" s="24">
        <v>1.62</v>
      </c>
      <c r="J151" s="23">
        <v>43685</v>
      </c>
      <c r="K151" s="24">
        <v>1.62</v>
      </c>
      <c r="L151" s="23">
        <v>43776</v>
      </c>
      <c r="M151" s="24">
        <v>1.62</v>
      </c>
      <c r="N151" s="25"/>
      <c r="O151" s="24"/>
      <c r="P151" s="26">
        <f t="shared" si="3"/>
        <v>6.4300000000000006</v>
      </c>
    </row>
    <row r="152" spans="2:16" x14ac:dyDescent="0.25">
      <c r="B152" s="12" t="s">
        <v>268</v>
      </c>
      <c r="C152" s="13" t="s">
        <v>269</v>
      </c>
      <c r="D152" s="14" t="s">
        <v>15</v>
      </c>
      <c r="E152" s="14" t="s">
        <v>77</v>
      </c>
      <c r="F152" s="15">
        <v>43517</v>
      </c>
      <c r="G152" s="16">
        <v>65.459999999999994</v>
      </c>
      <c r="H152" s="15">
        <v>43608</v>
      </c>
      <c r="I152" s="16">
        <v>31.28</v>
      </c>
      <c r="J152" s="15">
        <v>43699</v>
      </c>
      <c r="K152" s="16">
        <v>31.28</v>
      </c>
      <c r="L152" s="15">
        <v>43790</v>
      </c>
      <c r="M152" s="63">
        <v>72</v>
      </c>
      <c r="N152" s="17"/>
      <c r="O152" s="16"/>
      <c r="P152" s="18">
        <f>G152+I152+K152+M152+O152</f>
        <v>200.01999999999998</v>
      </c>
    </row>
    <row r="153" spans="2:16" x14ac:dyDescent="0.25">
      <c r="B153" s="12" t="s">
        <v>270</v>
      </c>
      <c r="C153" s="13" t="s">
        <v>271</v>
      </c>
      <c r="D153" s="14" t="s">
        <v>15</v>
      </c>
      <c r="E153" s="14" t="s">
        <v>16</v>
      </c>
      <c r="F153" s="29">
        <v>43584</v>
      </c>
      <c r="G153" s="71">
        <f>0.44*0.97559367</f>
        <v>0.42926121480000001</v>
      </c>
      <c r="H153" s="29">
        <v>43769</v>
      </c>
      <c r="I153" s="71">
        <f>0.22*0.97559367</f>
        <v>0.21463060740000001</v>
      </c>
      <c r="J153" s="15"/>
      <c r="K153" s="16"/>
      <c r="L153" s="15"/>
      <c r="M153" s="63"/>
      <c r="N153" s="17"/>
      <c r="O153" s="16"/>
      <c r="P153" s="18">
        <f>G153+I153+K153+M153+O153</f>
        <v>0.64389182220000007</v>
      </c>
    </row>
    <row r="154" spans="2:16" x14ac:dyDescent="0.25">
      <c r="B154" s="12" t="s">
        <v>273</v>
      </c>
      <c r="C154" s="13" t="s">
        <v>274</v>
      </c>
      <c r="D154" s="14" t="s">
        <v>15</v>
      </c>
      <c r="E154" s="14" t="s">
        <v>16</v>
      </c>
      <c r="F154" s="15">
        <v>43580</v>
      </c>
      <c r="G154" s="16">
        <v>0.44</v>
      </c>
      <c r="H154" s="15">
        <v>43682</v>
      </c>
      <c r="I154" s="16">
        <v>0.24</v>
      </c>
      <c r="J154" s="15"/>
      <c r="K154" s="16"/>
      <c r="L154" s="15"/>
      <c r="M154" s="63"/>
      <c r="N154" s="17"/>
      <c r="O154" s="16"/>
      <c r="P154" s="18">
        <f t="shared" si="3"/>
        <v>0.67999999999999994</v>
      </c>
    </row>
    <row r="155" spans="2:16" x14ac:dyDescent="0.25">
      <c r="B155" s="19" t="s">
        <v>612</v>
      </c>
      <c r="C155" s="20" t="s">
        <v>275</v>
      </c>
      <c r="D155" s="21" t="s">
        <v>55</v>
      </c>
      <c r="E155" s="22" t="s">
        <v>56</v>
      </c>
      <c r="F155" s="23">
        <v>43502</v>
      </c>
      <c r="G155" s="24">
        <v>0.315</v>
      </c>
      <c r="H155" s="23">
        <v>43591</v>
      </c>
      <c r="I155" s="24">
        <v>0.315</v>
      </c>
      <c r="J155" s="23">
        <v>43683</v>
      </c>
      <c r="K155" s="24">
        <v>0.315</v>
      </c>
      <c r="L155" s="23">
        <v>43776</v>
      </c>
      <c r="M155" s="24">
        <v>0.315</v>
      </c>
      <c r="N155" s="25"/>
      <c r="O155" s="24"/>
      <c r="P155" s="26">
        <f t="shared" si="3"/>
        <v>1.26</v>
      </c>
    </row>
    <row r="156" spans="2:16" x14ac:dyDescent="0.25">
      <c r="B156" s="12" t="s">
        <v>276</v>
      </c>
      <c r="C156" s="13" t="s">
        <v>277</v>
      </c>
      <c r="D156" s="14" t="s">
        <v>15</v>
      </c>
      <c r="E156" s="14" t="s">
        <v>16</v>
      </c>
      <c r="F156" s="15">
        <v>43605</v>
      </c>
      <c r="G156" s="16">
        <v>0.19700000000000001</v>
      </c>
      <c r="H156" s="15"/>
      <c r="I156" s="16"/>
      <c r="J156" s="15"/>
      <c r="K156" s="16"/>
      <c r="L156" s="15"/>
      <c r="M156" s="63"/>
      <c r="N156" s="17"/>
      <c r="O156" s="16"/>
      <c r="P156" s="18">
        <f t="shared" si="3"/>
        <v>0.19700000000000001</v>
      </c>
    </row>
    <row r="157" spans="2:16" x14ac:dyDescent="0.25">
      <c r="B157" s="12" t="s">
        <v>278</v>
      </c>
      <c r="C157" s="13" t="s">
        <v>279</v>
      </c>
      <c r="D157" s="14" t="s">
        <v>15</v>
      </c>
      <c r="E157" s="14" t="s">
        <v>16</v>
      </c>
      <c r="F157" s="15">
        <v>43605</v>
      </c>
      <c r="G157" s="16">
        <v>0.23400000000000001</v>
      </c>
      <c r="H157" s="15"/>
      <c r="I157" s="16"/>
      <c r="J157" s="15"/>
      <c r="K157" s="16"/>
      <c r="L157" s="15"/>
      <c r="M157" s="63"/>
      <c r="N157" s="17"/>
      <c r="O157" s="16"/>
      <c r="P157" s="18">
        <f t="shared" si="3"/>
        <v>0.23400000000000001</v>
      </c>
    </row>
    <row r="158" spans="2:16" x14ac:dyDescent="0.25">
      <c r="B158" s="19" t="s">
        <v>280</v>
      </c>
      <c r="C158" s="20" t="s">
        <v>281</v>
      </c>
      <c r="D158" s="21" t="s">
        <v>55</v>
      </c>
      <c r="E158" s="22" t="s">
        <v>56</v>
      </c>
      <c r="F158" s="23">
        <v>43521</v>
      </c>
      <c r="G158" s="24">
        <v>0.9</v>
      </c>
      <c r="H158" s="23">
        <v>43609</v>
      </c>
      <c r="I158" s="24">
        <v>0.95</v>
      </c>
      <c r="J158" s="23">
        <v>43703</v>
      </c>
      <c r="K158" s="24">
        <v>0.95</v>
      </c>
      <c r="L158" s="23">
        <v>43794</v>
      </c>
      <c r="M158" s="77">
        <v>0.95</v>
      </c>
      <c r="N158" s="25"/>
      <c r="O158" s="24"/>
      <c r="P158" s="26">
        <f t="shared" si="3"/>
        <v>3.75</v>
      </c>
    </row>
    <row r="159" spans="2:16" x14ac:dyDescent="0.25">
      <c r="B159" s="19" t="s">
        <v>282</v>
      </c>
      <c r="C159" s="20" t="s">
        <v>283</v>
      </c>
      <c r="D159" s="21" t="s">
        <v>55</v>
      </c>
      <c r="E159" s="22" t="s">
        <v>56</v>
      </c>
      <c r="F159" s="23">
        <v>43559</v>
      </c>
      <c r="G159" s="24">
        <v>0.8</v>
      </c>
      <c r="H159" s="23">
        <v>43649</v>
      </c>
      <c r="I159" s="24">
        <v>0.8</v>
      </c>
      <c r="J159" s="23">
        <v>43741</v>
      </c>
      <c r="K159" s="24">
        <v>0.9</v>
      </c>
      <c r="L159" s="23">
        <v>43833</v>
      </c>
      <c r="M159" s="77">
        <v>0.9</v>
      </c>
      <c r="N159" s="25"/>
      <c r="O159" s="24"/>
      <c r="P159" s="26">
        <f t="shared" si="3"/>
        <v>3.4</v>
      </c>
    </row>
    <row r="160" spans="2:16" x14ac:dyDescent="0.25">
      <c r="B160" s="12" t="s">
        <v>284</v>
      </c>
      <c r="C160" s="13" t="s">
        <v>285</v>
      </c>
      <c r="D160" s="14" t="s">
        <v>15</v>
      </c>
      <c r="E160" s="14" t="s">
        <v>21</v>
      </c>
      <c r="F160" s="15">
        <v>43567</v>
      </c>
      <c r="G160" s="16">
        <v>1.5</v>
      </c>
      <c r="H160" s="15"/>
      <c r="I160" s="16"/>
      <c r="J160" s="15"/>
      <c r="K160" s="16"/>
      <c r="L160" s="15"/>
      <c r="M160" s="63"/>
      <c r="N160" s="17"/>
      <c r="O160" s="16"/>
      <c r="P160" s="18">
        <f t="shared" si="3"/>
        <v>1.5</v>
      </c>
    </row>
    <row r="161" spans="1:17" x14ac:dyDescent="0.25">
      <c r="B161" s="12" t="s">
        <v>286</v>
      </c>
      <c r="C161" s="13" t="s">
        <v>287</v>
      </c>
      <c r="D161" s="14" t="s">
        <v>15</v>
      </c>
      <c r="E161" s="14" t="s">
        <v>16</v>
      </c>
      <c r="F161" s="15">
        <v>43601</v>
      </c>
      <c r="G161" s="16">
        <v>0.25</v>
      </c>
      <c r="H161" s="15"/>
      <c r="I161" s="16"/>
      <c r="J161" s="15"/>
      <c r="K161" s="16"/>
      <c r="L161" s="15"/>
      <c r="M161" s="63"/>
      <c r="N161" s="17"/>
      <c r="O161" s="16"/>
      <c r="P161" s="18">
        <f t="shared" si="3"/>
        <v>0.25</v>
      </c>
    </row>
    <row r="162" spans="1:17" x14ac:dyDescent="0.25">
      <c r="B162" s="12" t="s">
        <v>288</v>
      </c>
      <c r="C162" s="13" t="s">
        <v>289</v>
      </c>
      <c r="D162" s="14" t="s">
        <v>27</v>
      </c>
      <c r="E162" s="14" t="s">
        <v>16</v>
      </c>
      <c r="F162" s="15">
        <v>43592</v>
      </c>
      <c r="G162" s="16">
        <v>2.5</v>
      </c>
      <c r="H162" s="15">
        <v>43782</v>
      </c>
      <c r="I162" s="16">
        <v>1</v>
      </c>
      <c r="J162" s="15"/>
      <c r="K162" s="16"/>
      <c r="L162" s="15"/>
      <c r="M162" s="63"/>
      <c r="N162" s="17"/>
      <c r="O162" s="16"/>
      <c r="P162" s="18">
        <f t="shared" si="3"/>
        <v>3.5</v>
      </c>
    </row>
    <row r="163" spans="1:17" x14ac:dyDescent="0.25">
      <c r="B163" s="12" t="s">
        <v>290</v>
      </c>
      <c r="C163" s="13" t="s">
        <v>291</v>
      </c>
      <c r="D163" s="14" t="s">
        <v>24</v>
      </c>
      <c r="E163" s="14" t="s">
        <v>16</v>
      </c>
      <c r="F163" s="15">
        <v>43480</v>
      </c>
      <c r="G163" s="16">
        <v>3.5</v>
      </c>
      <c r="H163" s="15">
        <v>43587</v>
      </c>
      <c r="I163" s="16">
        <v>7</v>
      </c>
      <c r="J163" s="15"/>
      <c r="K163" s="16"/>
      <c r="L163" s="15"/>
      <c r="M163" s="63"/>
      <c r="N163" s="17"/>
      <c r="O163" s="16"/>
      <c r="P163" s="18">
        <f t="shared" si="3"/>
        <v>10.5</v>
      </c>
    </row>
    <row r="164" spans="1:17" x14ac:dyDescent="0.25">
      <c r="B164" s="12" t="s">
        <v>292</v>
      </c>
      <c r="C164" s="13" t="s">
        <v>293</v>
      </c>
      <c r="D164" s="14" t="s">
        <v>15</v>
      </c>
      <c r="E164" s="14" t="s">
        <v>16</v>
      </c>
      <c r="F164" s="15">
        <v>43564</v>
      </c>
      <c r="G164" s="16">
        <v>1.17</v>
      </c>
      <c r="H164" s="15">
        <v>43747</v>
      </c>
      <c r="I164" s="16">
        <v>1.17</v>
      </c>
      <c r="J164" s="15"/>
      <c r="K164" s="16"/>
      <c r="L164" s="15"/>
      <c r="M164" s="63"/>
      <c r="N164" s="17"/>
      <c r="O164" s="16"/>
      <c r="P164" s="18">
        <f t="shared" si="3"/>
        <v>2.34</v>
      </c>
    </row>
    <row r="165" spans="1:17" x14ac:dyDescent="0.25">
      <c r="B165" s="12" t="s">
        <v>688</v>
      </c>
      <c r="C165" s="13" t="s">
        <v>689</v>
      </c>
      <c r="D165" s="14" t="s">
        <v>15</v>
      </c>
      <c r="E165" s="14" t="s">
        <v>16</v>
      </c>
      <c r="F165" s="15">
        <v>43531</v>
      </c>
      <c r="G165" s="16">
        <v>1.05</v>
      </c>
      <c r="H165" s="15">
        <v>43654</v>
      </c>
      <c r="I165" s="16">
        <v>1.05</v>
      </c>
      <c r="J165" s="15"/>
      <c r="K165" s="16"/>
      <c r="L165" s="15"/>
      <c r="M165" s="63"/>
      <c r="N165" s="17"/>
      <c r="O165" s="16"/>
      <c r="P165" s="18">
        <f t="shared" si="3"/>
        <v>2.1</v>
      </c>
    </row>
    <row r="166" spans="1:17" x14ac:dyDescent="0.25">
      <c r="B166" s="12" t="s">
        <v>296</v>
      </c>
      <c r="C166" s="13" t="s">
        <v>297</v>
      </c>
      <c r="D166" s="14" t="s">
        <v>15</v>
      </c>
      <c r="E166" s="14" t="s">
        <v>16</v>
      </c>
      <c r="F166" s="15">
        <v>43567</v>
      </c>
      <c r="G166" s="16">
        <v>0.08</v>
      </c>
      <c r="H166" s="15">
        <v>43672</v>
      </c>
      <c r="I166" s="16">
        <v>4.2000000000000003E-2</v>
      </c>
      <c r="J166" s="15"/>
      <c r="K166" s="16"/>
      <c r="L166" s="15"/>
      <c r="M166" s="63"/>
      <c r="N166" s="17"/>
      <c r="O166" s="16"/>
      <c r="P166" s="18">
        <f t="shared" si="3"/>
        <v>0.122</v>
      </c>
    </row>
    <row r="167" spans="1:17" x14ac:dyDescent="0.25">
      <c r="A167" s="33"/>
      <c r="B167" s="37" t="s">
        <v>298</v>
      </c>
      <c r="C167" s="13" t="s">
        <v>299</v>
      </c>
      <c r="D167" s="14" t="s">
        <v>15</v>
      </c>
      <c r="E167" s="14" t="s">
        <v>21</v>
      </c>
      <c r="F167" s="15">
        <v>43605</v>
      </c>
      <c r="G167" s="16">
        <v>2</v>
      </c>
      <c r="H167" s="15"/>
      <c r="I167" s="16"/>
      <c r="J167" s="15"/>
      <c r="K167" s="16"/>
      <c r="L167" s="15"/>
      <c r="M167" s="63"/>
      <c r="N167" s="17"/>
      <c r="O167" s="16"/>
      <c r="P167" s="18">
        <f t="shared" si="3"/>
        <v>2</v>
      </c>
      <c r="Q167" s="36"/>
    </row>
    <row r="168" spans="1:17" x14ac:dyDescent="0.25">
      <c r="A168" s="33"/>
      <c r="B168" s="37" t="s">
        <v>300</v>
      </c>
      <c r="C168" s="13" t="s">
        <v>301</v>
      </c>
      <c r="D168" s="14" t="s">
        <v>24</v>
      </c>
      <c r="E168" s="14" t="s">
        <v>16</v>
      </c>
      <c r="F168" s="15">
        <v>43599</v>
      </c>
      <c r="G168" s="16">
        <v>1.3</v>
      </c>
      <c r="H168" s="15"/>
      <c r="I168" s="16"/>
      <c r="J168" s="15"/>
      <c r="K168" s="16"/>
      <c r="L168" s="15"/>
      <c r="M168" s="63"/>
      <c r="N168" s="17"/>
      <c r="O168" s="16"/>
      <c r="P168" s="18">
        <f t="shared" si="3"/>
        <v>1.3</v>
      </c>
      <c r="Q168" s="36"/>
    </row>
    <row r="169" spans="1:17" x14ac:dyDescent="0.25">
      <c r="B169" s="12" t="s">
        <v>302</v>
      </c>
      <c r="C169" s="13" t="s">
        <v>303</v>
      </c>
      <c r="D169" s="14" t="s">
        <v>15</v>
      </c>
      <c r="E169" s="14" t="s">
        <v>77</v>
      </c>
      <c r="F169" s="15">
        <v>43580</v>
      </c>
      <c r="G169" s="16">
        <v>11.82</v>
      </c>
      <c r="H169" s="15">
        <v>43692</v>
      </c>
      <c r="I169" s="16">
        <v>4.93</v>
      </c>
      <c r="J169" s="15"/>
      <c r="K169" s="16"/>
      <c r="L169" s="15"/>
      <c r="M169" s="63"/>
      <c r="N169" s="17"/>
      <c r="O169" s="16"/>
      <c r="P169" s="18">
        <f t="shared" si="3"/>
        <v>16.75</v>
      </c>
    </row>
    <row r="170" spans="1:17" x14ac:dyDescent="0.25">
      <c r="B170" s="12" t="s">
        <v>304</v>
      </c>
      <c r="C170" s="13" t="s">
        <v>305</v>
      </c>
      <c r="D170" s="14" t="s">
        <v>24</v>
      </c>
      <c r="E170" s="14" t="s">
        <v>16</v>
      </c>
      <c r="F170" s="15">
        <v>43619</v>
      </c>
      <c r="G170" s="16">
        <v>1.34</v>
      </c>
      <c r="H170" s="15"/>
      <c r="I170" s="16"/>
      <c r="J170" s="15"/>
      <c r="K170" s="16"/>
      <c r="L170" s="15"/>
      <c r="M170" s="63"/>
      <c r="N170" s="17"/>
      <c r="O170" s="16"/>
      <c r="P170" s="18">
        <f t="shared" si="3"/>
        <v>1.34</v>
      </c>
    </row>
    <row r="171" spans="1:17" x14ac:dyDescent="0.25">
      <c r="B171" s="12" t="s">
        <v>634</v>
      </c>
      <c r="C171" s="13" t="s">
        <v>307</v>
      </c>
      <c r="D171" s="14" t="s">
        <v>15</v>
      </c>
      <c r="E171" s="14" t="s">
        <v>16</v>
      </c>
      <c r="F171" s="15">
        <v>43531</v>
      </c>
      <c r="G171" s="16">
        <f>0.875/1.0982</f>
        <v>0.79675833181569833</v>
      </c>
      <c r="H171" s="15">
        <v>43616</v>
      </c>
      <c r="I171" s="16">
        <f>0.875/1.1134</f>
        <v>0.78588108496497222</v>
      </c>
      <c r="J171" s="15">
        <v>43707</v>
      </c>
      <c r="K171" s="16">
        <f>0.875/1.1072</f>
        <v>0.79028179190751446</v>
      </c>
      <c r="L171" s="15">
        <v>43801</v>
      </c>
      <c r="M171" s="63">
        <f>0.875/1.0982</f>
        <v>0.79675833181569833</v>
      </c>
      <c r="N171" s="146"/>
      <c r="O171" s="16"/>
      <c r="P171" s="18">
        <f>G171+I171+K171+M171+O171</f>
        <v>3.1696795405038829</v>
      </c>
    </row>
    <row r="172" spans="1:17" x14ac:dyDescent="0.25">
      <c r="B172" s="12" t="s">
        <v>637</v>
      </c>
      <c r="C172" s="13" t="s">
        <v>635</v>
      </c>
      <c r="D172" s="14" t="s">
        <v>636</v>
      </c>
      <c r="E172" s="14" t="s">
        <v>16</v>
      </c>
      <c r="F172" s="15">
        <v>43531</v>
      </c>
      <c r="G172" s="16">
        <f>0.875/1.0982</f>
        <v>0.79675833181569833</v>
      </c>
      <c r="H172" s="15">
        <v>43616</v>
      </c>
      <c r="I172" s="16">
        <f>0.875/1.1134</f>
        <v>0.78588108496497222</v>
      </c>
      <c r="J172" s="15">
        <v>43707</v>
      </c>
      <c r="K172" s="16">
        <f>0.875/1.1072</f>
        <v>0.79028179190751446</v>
      </c>
      <c r="L172" s="15">
        <v>43801</v>
      </c>
      <c r="M172" s="63">
        <f>0.875/1.0982</f>
        <v>0.79675833181569833</v>
      </c>
      <c r="N172" s="17"/>
      <c r="O172" s="16"/>
      <c r="P172" s="18">
        <f t="shared" si="3"/>
        <v>3.1696795405038829</v>
      </c>
    </row>
    <row r="173" spans="1:17" x14ac:dyDescent="0.25">
      <c r="B173" s="12" t="s">
        <v>308</v>
      </c>
      <c r="C173" s="13" t="s">
        <v>309</v>
      </c>
      <c r="D173" s="14" t="s">
        <v>15</v>
      </c>
      <c r="E173" s="14" t="s">
        <v>77</v>
      </c>
      <c r="F173" s="15">
        <v>43559</v>
      </c>
      <c r="G173" s="16">
        <v>2.14</v>
      </c>
      <c r="H173" s="15">
        <v>43685</v>
      </c>
      <c r="I173" s="16">
        <v>1.1200000000000001</v>
      </c>
      <c r="J173" s="15"/>
      <c r="K173" s="16"/>
      <c r="L173" s="15"/>
      <c r="M173" s="63"/>
      <c r="N173" s="17"/>
      <c r="O173" s="16"/>
      <c r="P173" s="18">
        <f t="shared" si="3"/>
        <v>3.2600000000000002</v>
      </c>
    </row>
    <row r="174" spans="1:17" x14ac:dyDescent="0.25">
      <c r="B174" s="12" t="s">
        <v>310</v>
      </c>
      <c r="C174" s="13" t="s">
        <v>311</v>
      </c>
      <c r="D174" s="14" t="s">
        <v>24</v>
      </c>
      <c r="E174" s="14" t="s">
        <v>16</v>
      </c>
      <c r="F174" s="15">
        <v>43581</v>
      </c>
      <c r="G174" s="16">
        <v>3.85</v>
      </c>
      <c r="H174" s="15"/>
      <c r="I174" s="16"/>
      <c r="J174" s="15"/>
      <c r="K174" s="16"/>
      <c r="L174" s="15"/>
      <c r="M174" s="63"/>
      <c r="N174" s="17"/>
      <c r="O174" s="16"/>
      <c r="P174" s="18">
        <f t="shared" si="3"/>
        <v>3.85</v>
      </c>
    </row>
    <row r="175" spans="1:17" x14ac:dyDescent="0.25">
      <c r="B175" s="12" t="s">
        <v>312</v>
      </c>
      <c r="C175" s="13" t="s">
        <v>313</v>
      </c>
      <c r="D175" s="14" t="s">
        <v>24</v>
      </c>
      <c r="E175" s="14" t="s">
        <v>16</v>
      </c>
      <c r="F175" s="15">
        <v>43580</v>
      </c>
      <c r="G175" s="16">
        <v>4</v>
      </c>
      <c r="H175" s="15">
        <v>43805</v>
      </c>
      <c r="I175" s="16">
        <v>2.2000000000000002</v>
      </c>
      <c r="J175" s="15"/>
      <c r="K175" s="16"/>
      <c r="L175" s="15"/>
      <c r="M175" s="63"/>
      <c r="N175" s="17"/>
      <c r="O175" s="16"/>
      <c r="P175" s="18">
        <f t="shared" si="3"/>
        <v>6.2</v>
      </c>
    </row>
    <row r="176" spans="1:17" x14ac:dyDescent="0.25">
      <c r="B176" s="12" t="s">
        <v>314</v>
      </c>
      <c r="C176" s="13" t="s">
        <v>315</v>
      </c>
      <c r="D176" s="14" t="s">
        <v>15</v>
      </c>
      <c r="E176" s="14" t="s">
        <v>16</v>
      </c>
      <c r="F176" s="15">
        <v>43637</v>
      </c>
      <c r="G176" s="16">
        <v>8.5699999999999998E-2</v>
      </c>
      <c r="H176" s="15">
        <v>43818</v>
      </c>
      <c r="I176" s="16">
        <v>6.0600000000000001E-2</v>
      </c>
      <c r="J176" s="15"/>
      <c r="K176" s="16"/>
      <c r="L176" s="15"/>
      <c r="M176" s="63"/>
      <c r="N176" s="17"/>
      <c r="O176" s="16"/>
      <c r="P176" s="18">
        <f t="shared" si="3"/>
        <v>0.14629999999999999</v>
      </c>
    </row>
    <row r="177" spans="2:16" x14ac:dyDescent="0.25">
      <c r="B177" s="19" t="s">
        <v>562</v>
      </c>
      <c r="C177" s="20" t="s">
        <v>589</v>
      </c>
      <c r="D177" s="21" t="s">
        <v>55</v>
      </c>
      <c r="E177" s="22" t="s">
        <v>56</v>
      </c>
      <c r="F177" s="23">
        <v>43563</v>
      </c>
      <c r="G177" s="24">
        <v>0.33</v>
      </c>
      <c r="H177" s="23">
        <v>43654</v>
      </c>
      <c r="I177" s="24">
        <v>0.33</v>
      </c>
      <c r="J177" s="23">
        <v>43746</v>
      </c>
      <c r="K177" s="24">
        <v>0.33</v>
      </c>
      <c r="L177" s="23">
        <v>43473</v>
      </c>
      <c r="M177" s="77">
        <v>0.4</v>
      </c>
      <c r="N177" s="25"/>
      <c r="O177" s="24"/>
      <c r="P177" s="26">
        <f t="shared" si="3"/>
        <v>1.3900000000000001</v>
      </c>
    </row>
    <row r="178" spans="2:16" x14ac:dyDescent="0.25">
      <c r="B178" s="19" t="s">
        <v>561</v>
      </c>
      <c r="C178" s="20" t="s">
        <v>588</v>
      </c>
      <c r="D178" s="21" t="s">
        <v>55</v>
      </c>
      <c r="E178" s="22" t="s">
        <v>56</v>
      </c>
      <c r="F178" s="23">
        <v>43524</v>
      </c>
      <c r="G178" s="24">
        <v>1.1599999999999999</v>
      </c>
      <c r="H178" s="23">
        <v>43616</v>
      </c>
      <c r="I178" s="24">
        <v>1.1599999999999999</v>
      </c>
      <c r="J178" s="23">
        <v>43707</v>
      </c>
      <c r="K178" s="24">
        <v>1.1599999999999999</v>
      </c>
      <c r="L178" s="23">
        <v>43798</v>
      </c>
      <c r="M178" s="77">
        <v>1.25</v>
      </c>
      <c r="N178" s="25"/>
      <c r="O178" s="24"/>
      <c r="P178" s="26">
        <f t="shared" si="3"/>
        <v>4.7299999999999995</v>
      </c>
    </row>
    <row r="179" spans="2:16" x14ac:dyDescent="0.25">
      <c r="B179" s="12" t="s">
        <v>316</v>
      </c>
      <c r="C179" s="13" t="s">
        <v>317</v>
      </c>
      <c r="D179" s="14" t="s">
        <v>15</v>
      </c>
      <c r="E179" s="14" t="s">
        <v>16</v>
      </c>
      <c r="F179" s="15"/>
      <c r="G179" s="16"/>
      <c r="H179" s="15"/>
      <c r="I179" s="16"/>
      <c r="J179" s="15"/>
      <c r="K179" s="16"/>
      <c r="L179" s="15"/>
      <c r="M179" s="63"/>
      <c r="N179" s="17"/>
      <c r="O179" s="16"/>
      <c r="P179" s="26">
        <f t="shared" si="3"/>
        <v>0</v>
      </c>
    </row>
    <row r="180" spans="2:16" x14ac:dyDescent="0.25">
      <c r="B180" s="12" t="s">
        <v>318</v>
      </c>
      <c r="C180" s="13" t="s">
        <v>319</v>
      </c>
      <c r="D180" s="14" t="s">
        <v>15</v>
      </c>
      <c r="E180" s="14" t="s">
        <v>16</v>
      </c>
      <c r="F180" s="15">
        <v>43581</v>
      </c>
      <c r="G180" s="16">
        <v>0.30590000000000001</v>
      </c>
      <c r="H180" s="15"/>
      <c r="I180" s="16"/>
      <c r="J180" s="15"/>
      <c r="K180" s="16"/>
      <c r="L180" s="15"/>
      <c r="M180" s="63"/>
      <c r="N180" s="17"/>
      <c r="O180" s="16"/>
      <c r="P180" s="18">
        <f t="shared" si="3"/>
        <v>0.30590000000000001</v>
      </c>
    </row>
    <row r="181" spans="2:16" x14ac:dyDescent="0.25">
      <c r="B181" s="12" t="s">
        <v>320</v>
      </c>
      <c r="C181" s="13" t="s">
        <v>321</v>
      </c>
      <c r="D181" s="14" t="s">
        <v>15</v>
      </c>
      <c r="E181" s="14" t="s">
        <v>16</v>
      </c>
      <c r="F181" s="15">
        <v>43787</v>
      </c>
      <c r="G181" s="16">
        <v>0.47</v>
      </c>
      <c r="H181" s="15"/>
      <c r="I181" s="16"/>
      <c r="J181" s="15"/>
      <c r="K181" s="16"/>
      <c r="L181" s="15"/>
      <c r="M181" s="63"/>
      <c r="N181" s="17"/>
      <c r="O181" s="16"/>
      <c r="P181" s="18">
        <f t="shared" si="3"/>
        <v>0.47</v>
      </c>
    </row>
    <row r="182" spans="2:16" x14ac:dyDescent="0.25">
      <c r="B182" s="19" t="s">
        <v>558</v>
      </c>
      <c r="C182" s="20" t="s">
        <v>585</v>
      </c>
      <c r="D182" s="21" t="s">
        <v>55</v>
      </c>
      <c r="E182" s="22" t="s">
        <v>56</v>
      </c>
      <c r="F182" s="23">
        <v>43545</v>
      </c>
      <c r="G182" s="24">
        <v>0.5</v>
      </c>
      <c r="H182" s="23">
        <v>43651</v>
      </c>
      <c r="I182" s="24">
        <v>0.54</v>
      </c>
      <c r="J182" s="23">
        <v>43734</v>
      </c>
      <c r="K182" s="24">
        <v>0.54</v>
      </c>
      <c r="L182" s="23">
        <v>43825</v>
      </c>
      <c r="M182" s="77">
        <v>0.54</v>
      </c>
      <c r="N182" s="25"/>
      <c r="O182" s="24"/>
      <c r="P182" s="26">
        <f t="shared" si="3"/>
        <v>2.12</v>
      </c>
    </row>
    <row r="183" spans="2:16" x14ac:dyDescent="0.25">
      <c r="B183" s="12" t="s">
        <v>322</v>
      </c>
      <c r="C183" s="13" t="s">
        <v>323</v>
      </c>
      <c r="D183" s="14" t="s">
        <v>15</v>
      </c>
      <c r="E183" s="14" t="s">
        <v>16</v>
      </c>
      <c r="F183" s="15">
        <v>43584</v>
      </c>
      <c r="G183" s="16">
        <v>1.25</v>
      </c>
      <c r="H183" s="15"/>
      <c r="I183" s="16"/>
      <c r="J183" s="15"/>
      <c r="K183" s="16"/>
      <c r="L183" s="15"/>
      <c r="M183" s="63"/>
      <c r="N183" s="17"/>
      <c r="O183" s="16"/>
      <c r="P183" s="18">
        <f t="shared" si="3"/>
        <v>1.25</v>
      </c>
    </row>
    <row r="184" spans="2:16" x14ac:dyDescent="0.25">
      <c r="B184" s="19" t="s">
        <v>324</v>
      </c>
      <c r="C184" s="20" t="s">
        <v>325</v>
      </c>
      <c r="D184" s="21" t="s">
        <v>55</v>
      </c>
      <c r="E184" s="22" t="s">
        <v>56</v>
      </c>
      <c r="F184" s="23">
        <v>43538</v>
      </c>
      <c r="G184" s="24">
        <v>0.55000000000000004</v>
      </c>
      <c r="H184" s="23">
        <v>43630</v>
      </c>
      <c r="I184" s="24">
        <v>0.55000000000000004</v>
      </c>
      <c r="J184" s="23">
        <v>43721</v>
      </c>
      <c r="K184" s="24">
        <v>0.55000000000000004</v>
      </c>
      <c r="L184" s="23">
        <v>43812</v>
      </c>
      <c r="M184" s="24">
        <v>0.61</v>
      </c>
      <c r="N184" s="25"/>
      <c r="O184" s="24"/>
      <c r="P184" s="26">
        <f t="shared" si="3"/>
        <v>2.2600000000000002</v>
      </c>
    </row>
    <row r="185" spans="2:16" x14ac:dyDescent="0.25">
      <c r="B185" s="12" t="s">
        <v>610</v>
      </c>
      <c r="C185" s="13" t="s">
        <v>326</v>
      </c>
      <c r="D185" s="14" t="s">
        <v>15</v>
      </c>
      <c r="E185" s="14" t="s">
        <v>16</v>
      </c>
      <c r="F185" s="15"/>
      <c r="G185" s="16"/>
      <c r="H185" s="15"/>
      <c r="I185" s="16"/>
      <c r="J185" s="15"/>
      <c r="K185" s="16"/>
      <c r="L185" s="15"/>
      <c r="M185" s="63"/>
      <c r="N185" s="17"/>
      <c r="O185" s="16"/>
      <c r="P185" s="18">
        <f t="shared" si="3"/>
        <v>0</v>
      </c>
    </row>
    <row r="186" spans="2:16" x14ac:dyDescent="0.25">
      <c r="B186" s="12" t="s">
        <v>327</v>
      </c>
      <c r="C186" s="13" t="s">
        <v>328</v>
      </c>
      <c r="D186" s="14" t="s">
        <v>15</v>
      </c>
      <c r="E186" s="14" t="s">
        <v>16</v>
      </c>
      <c r="F186" s="15">
        <v>43581</v>
      </c>
      <c r="G186" s="16">
        <v>0.6</v>
      </c>
      <c r="H186" s="15">
        <v>43766</v>
      </c>
      <c r="I186" s="16">
        <v>0.6</v>
      </c>
      <c r="J186" s="15"/>
      <c r="K186" s="16"/>
      <c r="L186" s="15"/>
      <c r="M186" s="63"/>
      <c r="N186" s="17"/>
      <c r="O186" s="16"/>
      <c r="P186" s="18">
        <f t="shared" si="3"/>
        <v>1.2</v>
      </c>
    </row>
    <row r="187" spans="2:16" x14ac:dyDescent="0.25">
      <c r="B187" s="12" t="s">
        <v>329</v>
      </c>
      <c r="C187" s="13" t="s">
        <v>330</v>
      </c>
      <c r="D187" s="14" t="s">
        <v>24</v>
      </c>
      <c r="E187" s="14" t="s">
        <v>16</v>
      </c>
      <c r="F187" s="15">
        <v>43606</v>
      </c>
      <c r="G187" s="16">
        <v>3.7</v>
      </c>
      <c r="H187" s="15"/>
      <c r="I187" s="16"/>
      <c r="J187" s="15"/>
      <c r="K187" s="16"/>
      <c r="L187" s="15"/>
      <c r="M187" s="63"/>
      <c r="N187" s="17"/>
      <c r="O187" s="16"/>
      <c r="P187" s="18">
        <f t="shared" si="3"/>
        <v>3.7</v>
      </c>
    </row>
    <row r="188" spans="2:16" x14ac:dyDescent="0.25">
      <c r="B188" s="19" t="s">
        <v>331</v>
      </c>
      <c r="C188" s="20" t="s">
        <v>332</v>
      </c>
      <c r="D188" s="21" t="s">
        <v>55</v>
      </c>
      <c r="E188" s="22" t="s">
        <v>56</v>
      </c>
      <c r="F188" s="23">
        <v>43516</v>
      </c>
      <c r="G188" s="24">
        <v>0.46</v>
      </c>
      <c r="H188" s="23">
        <v>43600</v>
      </c>
      <c r="I188" s="24">
        <v>0.46</v>
      </c>
      <c r="J188" s="23">
        <v>43691</v>
      </c>
      <c r="K188" s="24">
        <v>0.46</v>
      </c>
      <c r="L188" s="23">
        <v>43789</v>
      </c>
      <c r="M188" s="24">
        <v>0.51</v>
      </c>
      <c r="N188" s="25"/>
      <c r="O188" s="24"/>
      <c r="P188" s="26">
        <f t="shared" si="3"/>
        <v>1.8900000000000001</v>
      </c>
    </row>
    <row r="189" spans="2:16" x14ac:dyDescent="0.25">
      <c r="B189" s="12" t="s">
        <v>333</v>
      </c>
      <c r="C189" s="13" t="s">
        <v>334</v>
      </c>
      <c r="D189" s="14" t="s">
        <v>15</v>
      </c>
      <c r="E189" s="14" t="s">
        <v>16</v>
      </c>
      <c r="F189" s="15">
        <v>43587</v>
      </c>
      <c r="G189" s="16">
        <v>9.25</v>
      </c>
      <c r="H189" s="15"/>
      <c r="I189" s="16"/>
      <c r="J189" s="15"/>
      <c r="K189" s="16"/>
      <c r="L189" s="15"/>
      <c r="M189" s="63"/>
      <c r="N189" s="17"/>
      <c r="O189" s="16"/>
      <c r="P189" s="18">
        <f t="shared" si="3"/>
        <v>9.25</v>
      </c>
    </row>
    <row r="190" spans="2:16" x14ac:dyDescent="0.25">
      <c r="B190" s="12" t="s">
        <v>335</v>
      </c>
      <c r="C190" s="13" t="s">
        <v>336</v>
      </c>
      <c r="D190" s="14" t="s">
        <v>15</v>
      </c>
      <c r="E190" s="14" t="s">
        <v>77</v>
      </c>
      <c r="F190" s="15">
        <v>43615</v>
      </c>
      <c r="G190" s="16">
        <v>31.26</v>
      </c>
      <c r="H190" s="15">
        <v>43797</v>
      </c>
      <c r="I190" s="16">
        <v>16.57</v>
      </c>
      <c r="J190" s="15"/>
      <c r="K190" s="16"/>
      <c r="L190" s="15"/>
      <c r="M190" s="63"/>
      <c r="N190" s="17"/>
      <c r="O190" s="16"/>
      <c r="P190" s="18">
        <f t="shared" si="3"/>
        <v>47.83</v>
      </c>
    </row>
    <row r="191" spans="2:16" x14ac:dyDescent="0.25">
      <c r="B191" s="12" t="s">
        <v>337</v>
      </c>
      <c r="C191" s="13" t="s">
        <v>338</v>
      </c>
      <c r="D191" s="14" t="s">
        <v>24</v>
      </c>
      <c r="E191" s="14" t="s">
        <v>16</v>
      </c>
      <c r="F191" s="29">
        <v>43616</v>
      </c>
      <c r="G191" s="71">
        <v>0.26860000000000001</v>
      </c>
      <c r="H191" s="15"/>
      <c r="I191" s="16"/>
      <c r="J191" s="15"/>
      <c r="K191" s="16"/>
      <c r="L191" s="15"/>
      <c r="M191" s="63"/>
      <c r="N191" s="17"/>
      <c r="O191" s="16"/>
      <c r="P191" s="18">
        <f t="shared" si="3"/>
        <v>0.26860000000000001</v>
      </c>
    </row>
    <row r="192" spans="2:16" x14ac:dyDescent="0.25">
      <c r="B192" s="12" t="s">
        <v>339</v>
      </c>
      <c r="C192" s="13" t="s">
        <v>340</v>
      </c>
      <c r="D192" s="14" t="s">
        <v>15</v>
      </c>
      <c r="E192" s="14" t="s">
        <v>16</v>
      </c>
      <c r="F192" s="29">
        <v>43558</v>
      </c>
      <c r="G192" s="71">
        <f>1.14*0.33333333</f>
        <v>0.37999999619999997</v>
      </c>
      <c r="H192" s="15">
        <v>43741</v>
      </c>
      <c r="I192" s="16">
        <v>0.38</v>
      </c>
      <c r="J192" s="15"/>
      <c r="K192" s="16"/>
      <c r="L192" s="15"/>
      <c r="M192" s="63"/>
      <c r="N192" s="17"/>
      <c r="O192" s="16"/>
      <c r="P192" s="18">
        <f t="shared" si="3"/>
        <v>0.75999999619999992</v>
      </c>
    </row>
    <row r="193" spans="2:16" x14ac:dyDescent="0.25">
      <c r="B193" s="12" t="s">
        <v>341</v>
      </c>
      <c r="C193" s="13" t="s">
        <v>342</v>
      </c>
      <c r="D193" s="14" t="s">
        <v>15</v>
      </c>
      <c r="E193" s="14" t="s">
        <v>21</v>
      </c>
      <c r="F193" s="15">
        <v>43570</v>
      </c>
      <c r="G193" s="16">
        <v>2.4500000000000002</v>
      </c>
      <c r="H193" s="15"/>
      <c r="I193" s="16"/>
      <c r="J193" s="15"/>
      <c r="K193" s="16"/>
      <c r="L193" s="15"/>
      <c r="M193" s="63"/>
      <c r="N193" s="17"/>
      <c r="O193" s="16"/>
      <c r="P193" s="18">
        <f t="shared" si="3"/>
        <v>2.4500000000000002</v>
      </c>
    </row>
    <row r="194" spans="2:16" x14ac:dyDescent="0.25">
      <c r="B194" s="12" t="s">
        <v>343</v>
      </c>
      <c r="C194" s="13" t="s">
        <v>344</v>
      </c>
      <c r="D194" s="14" t="s">
        <v>15</v>
      </c>
      <c r="E194" s="14" t="s">
        <v>16</v>
      </c>
      <c r="F194" s="15">
        <v>43616</v>
      </c>
      <c r="G194" s="16">
        <v>1.24</v>
      </c>
      <c r="H194" s="15">
        <v>43696</v>
      </c>
      <c r="I194" s="16">
        <v>0.76</v>
      </c>
      <c r="J194" s="15"/>
      <c r="K194" s="16"/>
      <c r="L194" s="15"/>
      <c r="M194" s="63"/>
      <c r="N194" s="17"/>
      <c r="O194" s="16"/>
      <c r="P194" s="18">
        <f t="shared" si="3"/>
        <v>2</v>
      </c>
    </row>
    <row r="195" spans="2:16" x14ac:dyDescent="0.25">
      <c r="B195" s="12" t="s">
        <v>345</v>
      </c>
      <c r="C195" s="13" t="s">
        <v>346</v>
      </c>
      <c r="D195" s="14" t="s">
        <v>15</v>
      </c>
      <c r="E195" s="14" t="s">
        <v>16</v>
      </c>
      <c r="F195" s="15">
        <v>43607</v>
      </c>
      <c r="G195" s="16">
        <v>0.05</v>
      </c>
      <c r="H195" s="15">
        <v>43675</v>
      </c>
      <c r="I195" s="16">
        <v>0.05</v>
      </c>
      <c r="J195" s="15">
        <v>43766</v>
      </c>
      <c r="K195" s="16">
        <v>0.05</v>
      </c>
      <c r="L195" s="15"/>
      <c r="M195" s="63"/>
      <c r="N195" s="17"/>
      <c r="O195" s="16"/>
      <c r="P195" s="18">
        <f t="shared" si="3"/>
        <v>0.15000000000000002</v>
      </c>
    </row>
    <row r="196" spans="2:16" x14ac:dyDescent="0.25">
      <c r="B196" s="31" t="s">
        <v>347</v>
      </c>
      <c r="C196" s="32" t="s">
        <v>348</v>
      </c>
      <c r="D196" s="39" t="s">
        <v>15</v>
      </c>
      <c r="E196" s="39" t="s">
        <v>16</v>
      </c>
      <c r="F196" s="15">
        <v>43553</v>
      </c>
      <c r="G196" s="16">
        <v>0.69</v>
      </c>
      <c r="H196" s="15"/>
      <c r="I196" s="16"/>
      <c r="J196" s="15"/>
      <c r="K196" s="16"/>
      <c r="L196" s="15"/>
      <c r="M196" s="63"/>
      <c r="N196" s="17"/>
      <c r="O196" s="16"/>
      <c r="P196" s="18">
        <f t="shared" si="3"/>
        <v>0.69</v>
      </c>
    </row>
    <row r="197" spans="2:16" x14ac:dyDescent="0.25">
      <c r="B197" s="64" t="s">
        <v>555</v>
      </c>
      <c r="C197" s="65" t="s">
        <v>582</v>
      </c>
      <c r="D197" s="67" t="s">
        <v>55</v>
      </c>
      <c r="E197" s="68" t="s">
        <v>56</v>
      </c>
      <c r="F197" s="23">
        <v>43565</v>
      </c>
      <c r="G197" s="24">
        <v>0.24</v>
      </c>
      <c r="H197" s="23">
        <v>43662</v>
      </c>
      <c r="I197" s="24">
        <v>0.24</v>
      </c>
      <c r="J197" s="23">
        <v>43747</v>
      </c>
      <c r="K197" s="24">
        <v>0.24</v>
      </c>
      <c r="L197" s="23">
        <v>43473</v>
      </c>
      <c r="M197" s="77">
        <v>0.24</v>
      </c>
      <c r="N197" s="25"/>
      <c r="O197" s="24"/>
      <c r="P197" s="26">
        <f t="shared" si="3"/>
        <v>0.96</v>
      </c>
    </row>
    <row r="198" spans="2:16" x14ac:dyDescent="0.25">
      <c r="B198" s="12" t="s">
        <v>353</v>
      </c>
      <c r="C198" s="13" t="s">
        <v>354</v>
      </c>
      <c r="D198" s="14" t="s">
        <v>24</v>
      </c>
      <c r="E198" s="14" t="s">
        <v>16</v>
      </c>
      <c r="F198" s="15">
        <v>43620</v>
      </c>
      <c r="G198" s="16">
        <v>0.4</v>
      </c>
      <c r="H198" s="15">
        <v>43801</v>
      </c>
      <c r="I198" s="16">
        <v>0.3</v>
      </c>
      <c r="J198" s="15"/>
      <c r="K198" s="16"/>
      <c r="L198" s="15"/>
      <c r="M198" s="63"/>
      <c r="N198" s="17"/>
      <c r="O198" s="16"/>
      <c r="P198" s="18">
        <f t="shared" si="3"/>
        <v>0.7</v>
      </c>
    </row>
    <row r="199" spans="2:16" x14ac:dyDescent="0.25">
      <c r="B199" s="44" t="s">
        <v>357</v>
      </c>
      <c r="C199" s="35" t="s">
        <v>358</v>
      </c>
      <c r="D199" s="45" t="s">
        <v>15</v>
      </c>
      <c r="E199" s="45" t="s">
        <v>77</v>
      </c>
      <c r="F199" s="46">
        <v>43559</v>
      </c>
      <c r="G199" s="47">
        <v>13</v>
      </c>
      <c r="H199" s="46">
        <v>43692</v>
      </c>
      <c r="I199" s="47">
        <v>6</v>
      </c>
      <c r="J199" s="46"/>
      <c r="K199" s="47"/>
      <c r="L199" s="46"/>
      <c r="M199" s="80"/>
      <c r="N199" s="48"/>
      <c r="O199" s="47"/>
      <c r="P199" s="49">
        <f t="shared" si="3"/>
        <v>19</v>
      </c>
    </row>
    <row r="200" spans="2:16" x14ac:dyDescent="0.25">
      <c r="B200" s="19" t="s">
        <v>551</v>
      </c>
      <c r="C200" s="20" t="s">
        <v>578</v>
      </c>
      <c r="D200" s="21" t="s">
        <v>55</v>
      </c>
      <c r="E200" s="22" t="s">
        <v>56</v>
      </c>
      <c r="F200" s="23">
        <v>43524</v>
      </c>
      <c r="G200" s="24">
        <v>0.92749999999999999</v>
      </c>
      <c r="H200" s="23">
        <v>43622</v>
      </c>
      <c r="I200" s="24">
        <v>0.95499999999999996</v>
      </c>
      <c r="J200" s="23">
        <v>43713</v>
      </c>
      <c r="K200" s="24">
        <v>0.95499999999999996</v>
      </c>
      <c r="L200" s="23">
        <v>43804</v>
      </c>
      <c r="M200" s="77">
        <v>0.95499999999999996</v>
      </c>
      <c r="N200" s="25"/>
      <c r="O200" s="24"/>
      <c r="P200" s="26">
        <f t="shared" si="3"/>
        <v>3.7925</v>
      </c>
    </row>
    <row r="201" spans="2:16" x14ac:dyDescent="0.25">
      <c r="B201" s="12" t="s">
        <v>359</v>
      </c>
      <c r="C201" s="13" t="s">
        <v>360</v>
      </c>
      <c r="D201" s="14" t="s">
        <v>24</v>
      </c>
      <c r="E201" s="14" t="s">
        <v>16</v>
      </c>
      <c r="F201" s="15">
        <v>43654</v>
      </c>
      <c r="G201" s="16">
        <v>1.18</v>
      </c>
      <c r="H201" s="15">
        <v>43794</v>
      </c>
      <c r="I201" s="16">
        <v>1.94</v>
      </c>
      <c r="J201" s="15"/>
      <c r="K201" s="16"/>
      <c r="L201" s="15"/>
      <c r="M201" s="63"/>
      <c r="N201" s="17"/>
      <c r="O201" s="16"/>
      <c r="P201" s="18">
        <f t="shared" si="3"/>
        <v>3.12</v>
      </c>
    </row>
    <row r="202" spans="2:16" x14ac:dyDescent="0.25">
      <c r="B202" s="12" t="s">
        <v>361</v>
      </c>
      <c r="C202" s="13" t="s">
        <v>362</v>
      </c>
      <c r="D202" s="14" t="s">
        <v>24</v>
      </c>
      <c r="E202" s="14" t="s">
        <v>16</v>
      </c>
      <c r="F202" s="15">
        <v>43587</v>
      </c>
      <c r="G202" s="16">
        <v>0.78</v>
      </c>
      <c r="H202" s="15"/>
      <c r="I202" s="16"/>
      <c r="J202" s="15"/>
      <c r="K202" s="16"/>
      <c r="L202" s="15"/>
      <c r="M202" s="63"/>
      <c r="N202" s="17"/>
      <c r="O202" s="16"/>
      <c r="P202" s="18">
        <f t="shared" si="3"/>
        <v>0.78</v>
      </c>
    </row>
    <row r="203" spans="2:16" x14ac:dyDescent="0.25">
      <c r="B203" s="19" t="s">
        <v>363</v>
      </c>
      <c r="C203" s="20" t="s">
        <v>364</v>
      </c>
      <c r="D203" s="21" t="s">
        <v>55</v>
      </c>
      <c r="E203" s="22" t="s">
        <v>56</v>
      </c>
      <c r="F203" s="23">
        <v>43594</v>
      </c>
      <c r="G203" s="24">
        <v>0.36</v>
      </c>
      <c r="H203" s="23">
        <v>43678</v>
      </c>
      <c r="I203" s="24">
        <v>0.36</v>
      </c>
      <c r="J203" s="23">
        <v>43776</v>
      </c>
      <c r="K203" s="24">
        <v>0.36</v>
      </c>
      <c r="L203" s="23"/>
      <c r="M203" s="24"/>
      <c r="N203" s="25"/>
      <c r="O203" s="24"/>
      <c r="P203" s="26">
        <f t="shared" si="3"/>
        <v>1.08</v>
      </c>
    </row>
    <row r="204" spans="2:16" x14ac:dyDescent="0.25">
      <c r="B204" s="19" t="s">
        <v>606</v>
      </c>
      <c r="C204" s="20" t="s">
        <v>365</v>
      </c>
      <c r="D204" s="21" t="s">
        <v>55</v>
      </c>
      <c r="E204" s="22" t="s">
        <v>56</v>
      </c>
      <c r="F204" s="23">
        <v>43496</v>
      </c>
      <c r="G204" s="24">
        <v>0.36</v>
      </c>
      <c r="H204" s="23">
        <v>43549</v>
      </c>
      <c r="I204" s="24">
        <v>1.1399999999999999</v>
      </c>
      <c r="J204" s="23">
        <v>43636</v>
      </c>
      <c r="K204" s="24">
        <v>1.1399999999999999</v>
      </c>
      <c r="L204" s="23">
        <v>43732</v>
      </c>
      <c r="M204" s="77">
        <v>1.17</v>
      </c>
      <c r="N204" s="25">
        <v>43817</v>
      </c>
      <c r="O204" s="24">
        <v>1.17</v>
      </c>
      <c r="P204" s="26">
        <f t="shared" ref="P204:P267" si="4">G204+I204+K204+M204+O204</f>
        <v>4.9799999999999995</v>
      </c>
    </row>
    <row r="205" spans="2:16" x14ac:dyDescent="0.25">
      <c r="B205" s="12" t="s">
        <v>366</v>
      </c>
      <c r="C205" s="13" t="s">
        <v>367</v>
      </c>
      <c r="D205" s="14" t="s">
        <v>15</v>
      </c>
      <c r="E205" s="14" t="s">
        <v>16</v>
      </c>
      <c r="F205" s="15">
        <v>43598</v>
      </c>
      <c r="G205" s="16">
        <v>0.85</v>
      </c>
      <c r="H205" s="15"/>
      <c r="I205" s="16"/>
      <c r="J205" s="15"/>
      <c r="K205" s="16"/>
      <c r="L205" s="15"/>
      <c r="M205" s="16"/>
      <c r="N205" s="17"/>
      <c r="O205" s="16"/>
      <c r="P205" s="18">
        <f t="shared" si="4"/>
        <v>0.85</v>
      </c>
    </row>
    <row r="206" spans="2:16" x14ac:dyDescent="0.25">
      <c r="B206" s="19" t="s">
        <v>355</v>
      </c>
      <c r="C206" s="20" t="s">
        <v>356</v>
      </c>
      <c r="D206" s="21" t="s">
        <v>55</v>
      </c>
      <c r="E206" s="22" t="s">
        <v>56</v>
      </c>
      <c r="F206" s="23">
        <v>43572</v>
      </c>
      <c r="G206" s="24">
        <v>0.74590000000000001</v>
      </c>
      <c r="H206" s="23">
        <v>43664</v>
      </c>
      <c r="I206" s="24">
        <v>0.74590000000000001</v>
      </c>
      <c r="J206" s="23">
        <v>43755</v>
      </c>
      <c r="K206" s="24">
        <v>0.74590000000000001</v>
      </c>
      <c r="L206" s="23"/>
      <c r="M206" s="77"/>
      <c r="N206" s="25"/>
      <c r="O206" s="24"/>
      <c r="P206" s="26">
        <f t="shared" si="4"/>
        <v>2.2377000000000002</v>
      </c>
    </row>
    <row r="207" spans="2:16" x14ac:dyDescent="0.25">
      <c r="B207" s="12" t="s">
        <v>368</v>
      </c>
      <c r="C207" s="13" t="s">
        <v>369</v>
      </c>
      <c r="D207" s="14" t="s">
        <v>27</v>
      </c>
      <c r="E207" s="14" t="s">
        <v>16</v>
      </c>
      <c r="F207" s="15">
        <v>43579</v>
      </c>
      <c r="G207" s="16">
        <v>1</v>
      </c>
      <c r="H207" s="15">
        <v>43803</v>
      </c>
      <c r="I207" s="16">
        <v>0.5</v>
      </c>
      <c r="J207" s="15"/>
      <c r="K207" s="16"/>
      <c r="L207" s="15"/>
      <c r="M207" s="63"/>
      <c r="N207" s="17"/>
      <c r="O207" s="16"/>
      <c r="P207" s="18">
        <f t="shared" si="4"/>
        <v>1.5</v>
      </c>
    </row>
    <row r="208" spans="2:16" x14ac:dyDescent="0.25">
      <c r="B208" s="12" t="s">
        <v>372</v>
      </c>
      <c r="C208" s="13" t="s">
        <v>373</v>
      </c>
      <c r="D208" s="14" t="s">
        <v>24</v>
      </c>
      <c r="E208" s="14" t="s">
        <v>16</v>
      </c>
      <c r="F208" s="15">
        <v>43641</v>
      </c>
      <c r="G208" s="16">
        <v>2.12</v>
      </c>
      <c r="H208" s="15"/>
      <c r="I208" s="16"/>
      <c r="J208" s="15"/>
      <c r="K208" s="16"/>
      <c r="L208" s="15"/>
      <c r="M208" s="16"/>
      <c r="N208" s="17"/>
      <c r="O208" s="16"/>
      <c r="P208" s="18">
        <f t="shared" si="4"/>
        <v>2.12</v>
      </c>
    </row>
    <row r="209" spans="2:16" x14ac:dyDescent="0.25">
      <c r="B209" s="19" t="s">
        <v>572</v>
      </c>
      <c r="C209" s="20" t="s">
        <v>599</v>
      </c>
      <c r="D209" s="21" t="s">
        <v>55</v>
      </c>
      <c r="E209" s="22" t="s">
        <v>56</v>
      </c>
      <c r="F209" s="23">
        <v>43530</v>
      </c>
      <c r="G209" s="24">
        <v>0.62</v>
      </c>
      <c r="H209" s="23">
        <v>43621</v>
      </c>
      <c r="I209" s="24">
        <v>0.62</v>
      </c>
      <c r="J209" s="23">
        <v>43719</v>
      </c>
      <c r="K209" s="24">
        <v>0.62</v>
      </c>
      <c r="L209" s="23">
        <v>43803</v>
      </c>
      <c r="M209" s="77">
        <v>0.62</v>
      </c>
      <c r="N209" s="25"/>
      <c r="O209" s="24"/>
      <c r="P209" s="26">
        <f t="shared" ref="P209" si="5">G209+I209+K209+M209+O209</f>
        <v>2.48</v>
      </c>
    </row>
    <row r="210" spans="2:16" x14ac:dyDescent="0.25">
      <c r="B210" s="12" t="s">
        <v>681</v>
      </c>
      <c r="C210" s="13" t="s">
        <v>682</v>
      </c>
      <c r="D210" s="14" t="s">
        <v>15</v>
      </c>
      <c r="E210" s="14" t="s">
        <v>16</v>
      </c>
      <c r="F210" s="15">
        <v>43635</v>
      </c>
      <c r="G210" s="16">
        <v>0.93</v>
      </c>
      <c r="H210" s="15"/>
      <c r="I210" s="16"/>
      <c r="J210" s="15"/>
      <c r="K210" s="16"/>
      <c r="L210" s="15"/>
      <c r="M210" s="16"/>
      <c r="N210" s="17"/>
      <c r="O210" s="16"/>
      <c r="P210" s="18">
        <f t="shared" si="4"/>
        <v>0.93</v>
      </c>
    </row>
    <row r="211" spans="2:16" x14ac:dyDescent="0.25">
      <c r="B211" s="12" t="s">
        <v>620</v>
      </c>
      <c r="C211" s="13" t="s">
        <v>375</v>
      </c>
      <c r="D211" s="14" t="s">
        <v>15</v>
      </c>
      <c r="E211" s="14" t="s">
        <v>16</v>
      </c>
      <c r="F211" s="29">
        <v>43552</v>
      </c>
      <c r="G211" s="71">
        <f>2.27*0.97559367</f>
        <v>2.2145976308999997</v>
      </c>
      <c r="H211" s="29">
        <v>43735</v>
      </c>
      <c r="I211" s="71">
        <f>1.11*0.97559367</f>
        <v>1.0829089737000002</v>
      </c>
      <c r="J211" s="15"/>
      <c r="K211" s="16"/>
      <c r="L211" s="15"/>
      <c r="M211" s="16"/>
      <c r="N211" s="17"/>
      <c r="O211" s="16"/>
      <c r="P211" s="18">
        <f t="shared" si="4"/>
        <v>3.2975066045999997</v>
      </c>
    </row>
    <row r="212" spans="2:16" x14ac:dyDescent="0.25">
      <c r="B212" s="12" t="s">
        <v>376</v>
      </c>
      <c r="C212" s="13" t="s">
        <v>377</v>
      </c>
      <c r="D212" s="14" t="s">
        <v>15</v>
      </c>
      <c r="E212" s="14" t="s">
        <v>77</v>
      </c>
      <c r="F212" s="15">
        <v>43573</v>
      </c>
      <c r="G212" s="16">
        <v>100.2</v>
      </c>
      <c r="H212" s="15">
        <v>43699</v>
      </c>
      <c r="I212" s="16">
        <v>73</v>
      </c>
      <c r="J212" s="15"/>
      <c r="K212" s="16"/>
      <c r="L212" s="15"/>
      <c r="M212" s="16"/>
      <c r="N212" s="17"/>
      <c r="O212" s="16"/>
      <c r="P212" s="18">
        <f t="shared" si="4"/>
        <v>173.2</v>
      </c>
    </row>
    <row r="213" spans="2:16" x14ac:dyDescent="0.25">
      <c r="B213" s="12" t="s">
        <v>378</v>
      </c>
      <c r="C213" s="13" t="s">
        <v>379</v>
      </c>
      <c r="D213" s="14" t="s">
        <v>15</v>
      </c>
      <c r="E213" s="14" t="s">
        <v>16</v>
      </c>
      <c r="F213" s="15">
        <v>43469</v>
      </c>
      <c r="G213" s="16">
        <v>0.2727</v>
      </c>
      <c r="H213" s="15">
        <v>43643</v>
      </c>
      <c r="I213" s="16">
        <v>0.71040000000000003</v>
      </c>
      <c r="J213" s="15"/>
      <c r="K213" s="16"/>
      <c r="L213" s="15"/>
      <c r="M213" s="16"/>
      <c r="N213" s="17"/>
      <c r="O213" s="16"/>
      <c r="P213" s="18">
        <f t="shared" si="4"/>
        <v>0.98310000000000008</v>
      </c>
    </row>
    <row r="214" spans="2:16" x14ac:dyDescent="0.25">
      <c r="B214" s="12" t="s">
        <v>382</v>
      </c>
      <c r="C214" s="13" t="s">
        <v>381</v>
      </c>
      <c r="D214" s="14" t="s">
        <v>15</v>
      </c>
      <c r="E214" s="14" t="s">
        <v>16</v>
      </c>
      <c r="F214" s="15">
        <v>43587</v>
      </c>
      <c r="G214" s="16">
        <v>0.33700000000000002</v>
      </c>
      <c r="H214" s="15">
        <v>43678</v>
      </c>
      <c r="I214" s="16">
        <v>0.14799999999999999</v>
      </c>
      <c r="J214" s="15"/>
      <c r="K214" s="16"/>
      <c r="L214" s="15"/>
      <c r="M214" s="16"/>
      <c r="N214" s="17"/>
      <c r="O214" s="16"/>
      <c r="P214" s="18">
        <f t="shared" si="4"/>
        <v>0.48499999999999999</v>
      </c>
    </row>
    <row r="215" spans="2:16" x14ac:dyDescent="0.25">
      <c r="B215" s="12" t="s">
        <v>382</v>
      </c>
      <c r="C215" s="13" t="s">
        <v>383</v>
      </c>
      <c r="D215" s="14" t="s">
        <v>15</v>
      </c>
      <c r="E215" s="14" t="s">
        <v>77</v>
      </c>
      <c r="F215" s="15">
        <v>43587</v>
      </c>
      <c r="G215" s="16">
        <v>29.7</v>
      </c>
      <c r="H215" s="15">
        <v>43678</v>
      </c>
      <c r="I215" s="16">
        <v>13.6</v>
      </c>
      <c r="J215" s="15"/>
      <c r="K215" s="16"/>
      <c r="L215" s="15"/>
      <c r="M215" s="16"/>
      <c r="N215" s="17"/>
      <c r="O215" s="16"/>
      <c r="P215" s="18">
        <f t="shared" si="4"/>
        <v>43.3</v>
      </c>
    </row>
    <row r="216" spans="2:16" x14ac:dyDescent="0.25">
      <c r="B216" s="12" t="s">
        <v>384</v>
      </c>
      <c r="C216" s="13" t="s">
        <v>385</v>
      </c>
      <c r="D216" s="14" t="s">
        <v>24</v>
      </c>
      <c r="E216" s="14" t="s">
        <v>16</v>
      </c>
      <c r="F216" s="15">
        <v>43634</v>
      </c>
      <c r="G216" s="16">
        <v>3.55</v>
      </c>
      <c r="H216" s="15"/>
      <c r="I216" s="16"/>
      <c r="J216" s="15"/>
      <c r="K216" s="16"/>
      <c r="L216" s="15"/>
      <c r="M216" s="16"/>
      <c r="N216" s="17"/>
      <c r="O216" s="16"/>
      <c r="P216" s="18">
        <f t="shared" si="4"/>
        <v>3.55</v>
      </c>
    </row>
    <row r="217" spans="2:16" x14ac:dyDescent="0.25">
      <c r="B217" s="12" t="s">
        <v>386</v>
      </c>
      <c r="C217" s="13" t="s">
        <v>387</v>
      </c>
      <c r="D217" s="14" t="s">
        <v>15</v>
      </c>
      <c r="E217" s="14" t="s">
        <v>16</v>
      </c>
      <c r="F217" s="15">
        <v>43458</v>
      </c>
      <c r="G217" s="16">
        <v>0.41099999999999998</v>
      </c>
      <c r="H217" s="15">
        <v>43633</v>
      </c>
      <c r="I217" s="16">
        <v>0.505</v>
      </c>
      <c r="J217" s="15">
        <v>43816</v>
      </c>
      <c r="K217" s="16">
        <v>0.42399999999999999</v>
      </c>
      <c r="L217" s="15"/>
      <c r="M217" s="16"/>
      <c r="N217" s="17"/>
      <c r="O217" s="16"/>
      <c r="P217" s="18">
        <f t="shared" si="4"/>
        <v>1.3399999999999999</v>
      </c>
    </row>
    <row r="218" spans="2:16" x14ac:dyDescent="0.25">
      <c r="B218" s="12" t="s">
        <v>388</v>
      </c>
      <c r="C218" s="13" t="s">
        <v>389</v>
      </c>
      <c r="D218" s="14" t="s">
        <v>15</v>
      </c>
      <c r="E218" s="14" t="s">
        <v>77</v>
      </c>
      <c r="F218" s="29">
        <v>43531</v>
      </c>
      <c r="G218" s="71">
        <f>135.96*0.95772724*0.98776426</f>
        <v>128.61934808652015</v>
      </c>
      <c r="H218" s="29">
        <v>43685</v>
      </c>
      <c r="I218" s="71">
        <f>123.32*0.98776426</f>
        <v>121.81108854319999</v>
      </c>
      <c r="J218" s="15"/>
      <c r="K218" s="16"/>
      <c r="L218" s="15"/>
      <c r="M218" s="16"/>
      <c r="N218" s="17"/>
      <c r="O218" s="16"/>
      <c r="P218" s="18">
        <f t="shared" si="4"/>
        <v>250.43043662972013</v>
      </c>
    </row>
    <row r="219" spans="2:16" x14ac:dyDescent="0.25">
      <c r="B219" s="12" t="s">
        <v>390</v>
      </c>
      <c r="C219" s="13" t="s">
        <v>391</v>
      </c>
      <c r="D219" s="14" t="s">
        <v>15</v>
      </c>
      <c r="E219" s="14" t="s">
        <v>21</v>
      </c>
      <c r="F219" s="15">
        <v>43531</v>
      </c>
      <c r="G219" s="16">
        <v>8.6999999999999993</v>
      </c>
      <c r="H219" s="15"/>
      <c r="I219" s="16"/>
      <c r="J219" s="15"/>
      <c r="K219" s="16"/>
      <c r="L219" s="15"/>
      <c r="M219" s="16"/>
      <c r="N219" s="17"/>
      <c r="O219" s="16"/>
      <c r="P219" s="18">
        <f t="shared" si="4"/>
        <v>8.6999999999999993</v>
      </c>
    </row>
    <row r="220" spans="2:16" x14ac:dyDescent="0.25">
      <c r="B220" s="31" t="s">
        <v>392</v>
      </c>
      <c r="C220" s="32" t="s">
        <v>393</v>
      </c>
      <c r="D220" s="39" t="s">
        <v>15</v>
      </c>
      <c r="E220" s="39" t="s">
        <v>77</v>
      </c>
      <c r="F220" s="15">
        <v>43580</v>
      </c>
      <c r="G220" s="16">
        <v>7.1</v>
      </c>
      <c r="H220" s="40">
        <v>43762</v>
      </c>
      <c r="I220" s="41">
        <v>4.5999999999999996</v>
      </c>
      <c r="J220" s="40"/>
      <c r="K220" s="41"/>
      <c r="L220" s="40"/>
      <c r="M220" s="41"/>
      <c r="N220" s="42"/>
      <c r="O220" s="41"/>
      <c r="P220" s="43">
        <f t="shared" si="4"/>
        <v>11.7</v>
      </c>
    </row>
    <row r="221" spans="2:16" x14ac:dyDescent="0.25">
      <c r="B221" s="12" t="s">
        <v>394</v>
      </c>
      <c r="C221" s="13" t="s">
        <v>395</v>
      </c>
      <c r="D221" s="14" t="s">
        <v>15</v>
      </c>
      <c r="E221" s="14" t="s">
        <v>16</v>
      </c>
      <c r="F221" s="15">
        <v>43510</v>
      </c>
      <c r="G221" s="16">
        <v>0.41810000000000003</v>
      </c>
      <c r="H221" s="15">
        <v>43601</v>
      </c>
      <c r="I221" s="16">
        <v>0.42030000000000001</v>
      </c>
      <c r="J221" s="15">
        <v>43692</v>
      </c>
      <c r="K221" s="16">
        <v>0.42520000000000002</v>
      </c>
      <c r="L221" s="15">
        <v>43783</v>
      </c>
      <c r="M221" s="16">
        <f>0.47/1.1006</f>
        <v>0.42703979647465018</v>
      </c>
      <c r="N221" s="17"/>
      <c r="O221" s="16"/>
      <c r="P221" s="18">
        <f t="shared" si="4"/>
        <v>1.6906397964746502</v>
      </c>
    </row>
    <row r="222" spans="2:16" x14ac:dyDescent="0.25">
      <c r="B222" s="12" t="s">
        <v>396</v>
      </c>
      <c r="C222" s="13" t="s">
        <v>397</v>
      </c>
      <c r="D222" s="14" t="s">
        <v>15</v>
      </c>
      <c r="E222" s="14" t="s">
        <v>16</v>
      </c>
      <c r="F222" s="15">
        <v>43591</v>
      </c>
      <c r="G222" s="16">
        <v>0.7</v>
      </c>
      <c r="H222" s="15"/>
      <c r="I222" s="16"/>
      <c r="J222" s="15"/>
      <c r="K222" s="16"/>
      <c r="L222" s="15"/>
      <c r="M222" s="16"/>
      <c r="N222" s="17"/>
      <c r="O222" s="16"/>
      <c r="P222" s="18">
        <f t="shared" si="4"/>
        <v>0.7</v>
      </c>
    </row>
    <row r="223" spans="2:16" x14ac:dyDescent="0.25">
      <c r="B223" s="44" t="s">
        <v>398</v>
      </c>
      <c r="C223" s="35" t="s">
        <v>399</v>
      </c>
      <c r="D223" s="45" t="s">
        <v>24</v>
      </c>
      <c r="E223" s="45" t="s">
        <v>16</v>
      </c>
      <c r="F223" s="15">
        <v>43612</v>
      </c>
      <c r="G223" s="16">
        <v>1.82</v>
      </c>
      <c r="H223" s="46"/>
      <c r="I223" s="47"/>
      <c r="J223" s="46"/>
      <c r="K223" s="47"/>
      <c r="L223" s="46"/>
      <c r="M223" s="47"/>
      <c r="N223" s="48"/>
      <c r="O223" s="47"/>
      <c r="P223" s="49">
        <f t="shared" si="4"/>
        <v>1.82</v>
      </c>
    </row>
    <row r="224" spans="2:16" x14ac:dyDescent="0.25">
      <c r="B224" s="12" t="s">
        <v>400</v>
      </c>
      <c r="C224" s="13" t="s">
        <v>401</v>
      </c>
      <c r="D224" s="14" t="s">
        <v>24</v>
      </c>
      <c r="E224" s="14" t="s">
        <v>16</v>
      </c>
      <c r="F224" s="15">
        <v>43626</v>
      </c>
      <c r="G224" s="16">
        <v>1.33</v>
      </c>
      <c r="H224" s="15"/>
      <c r="I224" s="16"/>
      <c r="J224" s="15"/>
      <c r="K224" s="16"/>
      <c r="L224" s="15"/>
      <c r="M224" s="16"/>
      <c r="N224" s="17"/>
      <c r="O224" s="16"/>
      <c r="P224" s="18">
        <f t="shared" si="4"/>
        <v>1.33</v>
      </c>
    </row>
    <row r="225" spans="2:16" x14ac:dyDescent="0.25">
      <c r="B225" s="12" t="s">
        <v>402</v>
      </c>
      <c r="C225" s="13" t="s">
        <v>403</v>
      </c>
      <c r="D225" s="14" t="s">
        <v>15</v>
      </c>
      <c r="E225" s="14" t="s">
        <v>16</v>
      </c>
      <c r="F225" s="15">
        <v>43605</v>
      </c>
      <c r="G225" s="16">
        <v>0.34</v>
      </c>
      <c r="H225" s="15"/>
      <c r="I225" s="16"/>
      <c r="J225" s="15"/>
      <c r="K225" s="16"/>
      <c r="L225" s="15"/>
      <c r="M225" s="16"/>
      <c r="N225" s="17"/>
      <c r="O225" s="16"/>
      <c r="P225" s="18">
        <f t="shared" si="4"/>
        <v>0.34</v>
      </c>
    </row>
    <row r="226" spans="2:16" x14ac:dyDescent="0.25">
      <c r="B226" s="12" t="s">
        <v>404</v>
      </c>
      <c r="C226" s="13" t="s">
        <v>405</v>
      </c>
      <c r="D226" s="14" t="s">
        <v>15</v>
      </c>
      <c r="E226" s="14" t="s">
        <v>16</v>
      </c>
      <c r="F226" s="29">
        <v>43565</v>
      </c>
      <c r="G226" s="71">
        <f>2.85*0.98526399</f>
        <v>2.8080023715000002</v>
      </c>
      <c r="H226" s="15"/>
      <c r="I226" s="16"/>
      <c r="J226" s="15"/>
      <c r="K226" s="16"/>
      <c r="L226" s="15"/>
      <c r="M226" s="16"/>
      <c r="N226" s="17"/>
      <c r="O226" s="16"/>
      <c r="P226" s="18">
        <f t="shared" si="4"/>
        <v>2.8080023715000002</v>
      </c>
    </row>
    <row r="227" spans="2:16" x14ac:dyDescent="0.25">
      <c r="B227" s="12" t="s">
        <v>406</v>
      </c>
      <c r="C227" s="13" t="s">
        <v>407</v>
      </c>
      <c r="D227" s="14" t="s">
        <v>24</v>
      </c>
      <c r="E227" s="14" t="s">
        <v>16</v>
      </c>
      <c r="F227" s="15">
        <v>43594</v>
      </c>
      <c r="G227" s="16">
        <v>3.07</v>
      </c>
      <c r="H227" s="15"/>
      <c r="I227" s="16"/>
      <c r="J227" s="15"/>
      <c r="K227" s="16"/>
      <c r="L227" s="15"/>
      <c r="M227" s="16"/>
      <c r="N227" s="17"/>
      <c r="O227" s="16"/>
      <c r="P227" s="18">
        <f t="shared" si="4"/>
        <v>3.07</v>
      </c>
    </row>
    <row r="228" spans="2:16" x14ac:dyDescent="0.25">
      <c r="B228" s="12" t="s">
        <v>408</v>
      </c>
      <c r="C228" s="13" t="s">
        <v>409</v>
      </c>
      <c r="D228" s="14" t="s">
        <v>15</v>
      </c>
      <c r="E228" s="14" t="s">
        <v>16</v>
      </c>
      <c r="F228" s="15">
        <v>43601</v>
      </c>
      <c r="G228" s="16">
        <v>1.5</v>
      </c>
      <c r="H228" s="15"/>
      <c r="I228" s="16"/>
      <c r="J228" s="15"/>
      <c r="K228" s="16"/>
      <c r="L228" s="15"/>
      <c r="M228" s="16"/>
      <c r="N228" s="17"/>
      <c r="O228" s="16"/>
      <c r="P228" s="18">
        <f t="shared" si="4"/>
        <v>1.5</v>
      </c>
    </row>
    <row r="229" spans="2:16" x14ac:dyDescent="0.25">
      <c r="B229" s="12" t="s">
        <v>410</v>
      </c>
      <c r="C229" s="13" t="s">
        <v>411</v>
      </c>
      <c r="D229" s="14" t="s">
        <v>15</v>
      </c>
      <c r="E229" s="14" t="s">
        <v>16</v>
      </c>
      <c r="F229" s="15">
        <v>43567</v>
      </c>
      <c r="G229" s="16">
        <v>0.37</v>
      </c>
      <c r="H229" s="15"/>
      <c r="I229" s="16"/>
      <c r="J229" s="15"/>
      <c r="K229" s="16"/>
      <c r="L229" s="15"/>
      <c r="M229" s="16"/>
      <c r="N229" s="17"/>
      <c r="O229" s="16"/>
      <c r="P229" s="18">
        <f t="shared" si="4"/>
        <v>0.37</v>
      </c>
    </row>
    <row r="230" spans="2:16" x14ac:dyDescent="0.25">
      <c r="B230" s="19" t="s">
        <v>559</v>
      </c>
      <c r="C230" s="20" t="s">
        <v>586</v>
      </c>
      <c r="D230" s="21" t="s">
        <v>55</v>
      </c>
      <c r="E230" s="22" t="s">
        <v>56</v>
      </c>
      <c r="F230" s="23">
        <v>43508</v>
      </c>
      <c r="G230" s="24">
        <v>0.5</v>
      </c>
      <c r="H230" s="23">
        <v>43620</v>
      </c>
      <c r="I230" s="24">
        <v>0.5</v>
      </c>
      <c r="J230" s="23">
        <v>43711</v>
      </c>
      <c r="K230" s="24">
        <v>0.5</v>
      </c>
      <c r="L230" s="23">
        <v>43802</v>
      </c>
      <c r="M230" s="24">
        <v>0.5</v>
      </c>
      <c r="N230" s="25"/>
      <c r="O230" s="24"/>
      <c r="P230" s="26">
        <f t="shared" si="4"/>
        <v>2</v>
      </c>
    </row>
    <row r="231" spans="2:16" x14ac:dyDescent="0.25">
      <c r="B231" s="12" t="s">
        <v>412</v>
      </c>
      <c r="C231" s="13" t="s">
        <v>413</v>
      </c>
      <c r="D231" s="14" t="s">
        <v>24</v>
      </c>
      <c r="E231" s="14" t="s">
        <v>16</v>
      </c>
      <c r="F231" s="15">
        <v>43585</v>
      </c>
      <c r="G231" s="16">
        <v>2.35</v>
      </c>
      <c r="H231" s="15"/>
      <c r="I231" s="16"/>
      <c r="J231" s="15"/>
      <c r="K231" s="16"/>
      <c r="L231" s="15"/>
      <c r="M231" s="16"/>
      <c r="N231" s="17"/>
      <c r="O231" s="16"/>
      <c r="P231" s="18">
        <f t="shared" si="4"/>
        <v>2.35</v>
      </c>
    </row>
    <row r="232" spans="2:16" x14ac:dyDescent="0.25">
      <c r="B232" s="12" t="s">
        <v>414</v>
      </c>
      <c r="C232" s="13" t="s">
        <v>415</v>
      </c>
      <c r="D232" s="14" t="s">
        <v>24</v>
      </c>
      <c r="E232" s="14" t="s">
        <v>16</v>
      </c>
      <c r="F232" s="15">
        <v>43585</v>
      </c>
      <c r="G232" s="16">
        <v>1.75</v>
      </c>
      <c r="H232" s="15"/>
      <c r="I232" s="16"/>
      <c r="J232" s="15"/>
      <c r="K232" s="16"/>
      <c r="L232" s="15"/>
      <c r="M232" s="16"/>
      <c r="N232" s="17"/>
      <c r="O232" s="16"/>
      <c r="P232" s="18">
        <f t="shared" si="4"/>
        <v>1.75</v>
      </c>
    </row>
    <row r="233" spans="2:16" x14ac:dyDescent="0.25">
      <c r="B233" s="12" t="s">
        <v>416</v>
      </c>
      <c r="C233" s="13" t="s">
        <v>417</v>
      </c>
      <c r="D233" s="14" t="s">
        <v>237</v>
      </c>
      <c r="E233" s="14" t="s">
        <v>16</v>
      </c>
      <c r="F233" s="15">
        <v>43580</v>
      </c>
      <c r="G233" s="16">
        <v>0.51200000000000001</v>
      </c>
      <c r="H233" s="15"/>
      <c r="I233" s="16"/>
      <c r="J233" s="15"/>
      <c r="K233" s="16"/>
      <c r="L233" s="15"/>
      <c r="M233" s="16"/>
      <c r="N233" s="17"/>
      <c r="O233" s="16"/>
      <c r="P233" s="18">
        <f t="shared" si="4"/>
        <v>0.51200000000000001</v>
      </c>
    </row>
    <row r="234" spans="2:16" x14ac:dyDescent="0.25">
      <c r="B234" s="12" t="s">
        <v>418</v>
      </c>
      <c r="C234" s="13" t="s">
        <v>419</v>
      </c>
      <c r="D234" s="14" t="s">
        <v>15</v>
      </c>
      <c r="E234" s="14" t="s">
        <v>77</v>
      </c>
      <c r="F234" s="15">
        <v>43629</v>
      </c>
      <c r="G234" s="16">
        <v>56.02</v>
      </c>
      <c r="H234" s="15">
        <v>43797</v>
      </c>
      <c r="I234" s="16">
        <v>40.03</v>
      </c>
      <c r="J234" s="15"/>
      <c r="K234" s="16"/>
      <c r="L234" s="15"/>
      <c r="M234" s="16"/>
      <c r="N234" s="17"/>
      <c r="O234" s="16"/>
      <c r="P234" s="18">
        <f t="shared" si="4"/>
        <v>96.050000000000011</v>
      </c>
    </row>
    <row r="235" spans="2:16" x14ac:dyDescent="0.25">
      <c r="B235" s="12" t="s">
        <v>420</v>
      </c>
      <c r="C235" s="13" t="s">
        <v>421</v>
      </c>
      <c r="D235" s="14" t="s">
        <v>15</v>
      </c>
      <c r="E235" s="14" t="s">
        <v>21</v>
      </c>
      <c r="F235" s="15">
        <v>43550</v>
      </c>
      <c r="G235" s="16">
        <v>78</v>
      </c>
      <c r="H235" s="15"/>
      <c r="I235" s="16"/>
      <c r="J235" s="15"/>
      <c r="K235" s="16"/>
      <c r="L235" s="15"/>
      <c r="M235" s="16"/>
      <c r="N235" s="17"/>
      <c r="O235" s="16"/>
      <c r="P235" s="18">
        <f t="shared" si="4"/>
        <v>78</v>
      </c>
    </row>
    <row r="236" spans="2:16" x14ac:dyDescent="0.25">
      <c r="B236" s="12" t="s">
        <v>424</v>
      </c>
      <c r="C236" s="13" t="s">
        <v>425</v>
      </c>
      <c r="D236" s="14" t="s">
        <v>15</v>
      </c>
      <c r="E236" s="14" t="s">
        <v>16</v>
      </c>
      <c r="F236" s="15">
        <v>43496</v>
      </c>
      <c r="G236" s="16">
        <v>3.8</v>
      </c>
      <c r="H236" s="15"/>
      <c r="I236" s="16"/>
      <c r="J236" s="15"/>
      <c r="K236" s="16"/>
      <c r="L236" s="15"/>
      <c r="M236" s="63"/>
      <c r="N236" s="17"/>
      <c r="O236" s="16"/>
      <c r="P236" s="18">
        <f t="shared" si="4"/>
        <v>3.8</v>
      </c>
    </row>
    <row r="237" spans="2:16" x14ac:dyDescent="0.25">
      <c r="B237" s="12" t="s">
        <v>426</v>
      </c>
      <c r="C237" s="13" t="s">
        <v>427</v>
      </c>
      <c r="D237" s="14" t="s">
        <v>15</v>
      </c>
      <c r="E237" s="14" t="s">
        <v>200</v>
      </c>
      <c r="F237" s="105">
        <v>43551</v>
      </c>
      <c r="G237" s="106">
        <f>6*0.99438833</f>
        <v>5.9663299800000003</v>
      </c>
      <c r="H237" s="15"/>
      <c r="I237" s="16"/>
      <c r="J237" s="15"/>
      <c r="K237" s="16"/>
      <c r="L237" s="15"/>
      <c r="M237" s="63"/>
      <c r="N237" s="17"/>
      <c r="O237" s="16"/>
      <c r="P237" s="18">
        <f t="shared" si="4"/>
        <v>5.9663299800000003</v>
      </c>
    </row>
    <row r="238" spans="2:16" ht="15.75" thickBot="1" x14ac:dyDescent="0.3">
      <c r="B238" s="31" t="s">
        <v>430</v>
      </c>
      <c r="C238" s="32" t="s">
        <v>431</v>
      </c>
      <c r="D238" s="39" t="s">
        <v>15</v>
      </c>
      <c r="E238" s="39" t="s">
        <v>16</v>
      </c>
      <c r="F238" s="40">
        <v>43486</v>
      </c>
      <c r="G238" s="41">
        <v>9.0499999999999997E-2</v>
      </c>
      <c r="H238" s="40">
        <v>43640</v>
      </c>
      <c r="I238" s="41">
        <v>0.1358</v>
      </c>
      <c r="J238" s="40"/>
      <c r="K238" s="41"/>
      <c r="L238" s="40"/>
      <c r="M238" s="79"/>
      <c r="N238" s="42"/>
      <c r="O238" s="41"/>
      <c r="P238" s="43">
        <f t="shared" si="4"/>
        <v>0.2263</v>
      </c>
    </row>
    <row r="239" spans="2:16" x14ac:dyDescent="0.25">
      <c r="B239" s="50" t="s">
        <v>432</v>
      </c>
      <c r="C239" s="51" t="s">
        <v>433</v>
      </c>
      <c r="D239" s="52" t="s">
        <v>15</v>
      </c>
      <c r="E239" s="52" t="s">
        <v>16</v>
      </c>
      <c r="F239" s="53"/>
      <c r="G239" s="54"/>
      <c r="H239" s="53"/>
      <c r="I239" s="54"/>
      <c r="J239" s="53"/>
      <c r="K239" s="54"/>
      <c r="L239" s="53"/>
      <c r="M239" s="81"/>
      <c r="N239" s="55"/>
      <c r="O239" s="54"/>
      <c r="P239" s="70">
        <f>0.2*(G239+I239+K239+M239+O239)</f>
        <v>0</v>
      </c>
    </row>
    <row r="240" spans="2:16" ht="15.75" thickBot="1" x14ac:dyDescent="0.3">
      <c r="B240" s="56" t="s">
        <v>434</v>
      </c>
      <c r="C240" s="57" t="s">
        <v>433</v>
      </c>
      <c r="D240" s="58" t="s">
        <v>15</v>
      </c>
      <c r="E240" s="58" t="s">
        <v>16</v>
      </c>
      <c r="F240" s="59">
        <v>43486</v>
      </c>
      <c r="G240" s="60">
        <v>9.0499999999999997E-2</v>
      </c>
      <c r="H240" s="59">
        <v>43640</v>
      </c>
      <c r="I240" s="60">
        <v>0.1358</v>
      </c>
      <c r="J240" s="59"/>
      <c r="K240" s="60"/>
      <c r="L240" s="59"/>
      <c r="M240" s="82"/>
      <c r="N240" s="61"/>
      <c r="O240" s="60"/>
      <c r="P240" s="62">
        <f>(G240+I240+K240+M240+O240)+P239</f>
        <v>0.2263</v>
      </c>
    </row>
    <row r="241" spans="2:16" x14ac:dyDescent="0.25">
      <c r="B241" s="44" t="s">
        <v>435</v>
      </c>
      <c r="C241" s="35" t="s">
        <v>436</v>
      </c>
      <c r="D241" s="45" t="s">
        <v>24</v>
      </c>
      <c r="E241" s="45" t="s">
        <v>16</v>
      </c>
      <c r="F241" s="46">
        <v>43612</v>
      </c>
      <c r="G241" s="47">
        <v>2.2000000000000002</v>
      </c>
      <c r="H241" s="46"/>
      <c r="I241" s="47"/>
      <c r="J241" s="46"/>
      <c r="K241" s="47"/>
      <c r="L241" s="46"/>
      <c r="M241" s="80"/>
      <c r="N241" s="48"/>
      <c r="O241" s="47"/>
      <c r="P241" s="49">
        <f t="shared" si="4"/>
        <v>2.2000000000000002</v>
      </c>
    </row>
    <row r="242" spans="2:16" x14ac:dyDescent="0.25">
      <c r="B242" s="12" t="s">
        <v>437</v>
      </c>
      <c r="C242" s="13" t="s">
        <v>438</v>
      </c>
      <c r="D242" s="14" t="s">
        <v>24</v>
      </c>
      <c r="E242" s="14" t="s">
        <v>16</v>
      </c>
      <c r="F242" s="15">
        <v>43495</v>
      </c>
      <c r="G242" s="16">
        <v>2.75</v>
      </c>
      <c r="H242" s="15"/>
      <c r="I242" s="16"/>
      <c r="J242" s="15"/>
      <c r="K242" s="16"/>
      <c r="L242" s="15"/>
      <c r="M242" s="63"/>
      <c r="N242" s="17"/>
      <c r="O242" s="16"/>
      <c r="P242" s="18">
        <f t="shared" si="4"/>
        <v>2.75</v>
      </c>
    </row>
    <row r="243" spans="2:16" x14ac:dyDescent="0.25">
      <c r="B243" s="12" t="s">
        <v>439</v>
      </c>
      <c r="C243" s="13" t="s">
        <v>440</v>
      </c>
      <c r="D243" s="14" t="s">
        <v>27</v>
      </c>
      <c r="E243" s="14" t="s">
        <v>16</v>
      </c>
      <c r="F243" s="15">
        <v>43480</v>
      </c>
      <c r="G243" s="16">
        <v>1.44</v>
      </c>
      <c r="H243" s="15">
        <v>43606</v>
      </c>
      <c r="I243" s="16">
        <v>2.31</v>
      </c>
      <c r="J243" s="15"/>
      <c r="K243" s="16"/>
      <c r="L243" s="15"/>
      <c r="M243" s="63"/>
      <c r="N243" s="17"/>
      <c r="O243" s="16"/>
      <c r="P243" s="18">
        <f t="shared" si="4"/>
        <v>3.75</v>
      </c>
    </row>
    <row r="244" spans="2:16" x14ac:dyDescent="0.25">
      <c r="B244" s="19" t="s">
        <v>443</v>
      </c>
      <c r="C244" s="20" t="s">
        <v>444</v>
      </c>
      <c r="D244" s="21" t="s">
        <v>55</v>
      </c>
      <c r="E244" s="22" t="s">
        <v>56</v>
      </c>
      <c r="F244" s="23">
        <v>43511</v>
      </c>
      <c r="G244" s="24">
        <v>0.6</v>
      </c>
      <c r="H244" s="23">
        <v>43602</v>
      </c>
      <c r="I244" s="24">
        <v>0.62</v>
      </c>
      <c r="J244" s="23">
        <v>43693</v>
      </c>
      <c r="K244" s="24">
        <v>0.62</v>
      </c>
      <c r="L244" s="23">
        <v>43784</v>
      </c>
      <c r="M244" s="77">
        <v>0.62</v>
      </c>
      <c r="N244" s="25"/>
      <c r="O244" s="24"/>
      <c r="P244" s="26">
        <f t="shared" si="4"/>
        <v>2.46</v>
      </c>
    </row>
    <row r="245" spans="2:16" x14ac:dyDescent="0.25">
      <c r="B245" s="12" t="s">
        <v>445</v>
      </c>
      <c r="C245" s="13" t="s">
        <v>446</v>
      </c>
      <c r="D245" s="14" t="s">
        <v>15</v>
      </c>
      <c r="E245" s="14" t="s">
        <v>77</v>
      </c>
      <c r="F245" s="15">
        <v>43482</v>
      </c>
      <c r="G245" s="16">
        <v>29.3</v>
      </c>
      <c r="H245" s="15">
        <v>43671</v>
      </c>
      <c r="I245" s="16">
        <v>68.2</v>
      </c>
      <c r="J245" s="15"/>
      <c r="K245" s="16"/>
      <c r="L245" s="15"/>
      <c r="M245" s="63"/>
      <c r="N245" s="17"/>
      <c r="O245" s="16"/>
      <c r="P245" s="18">
        <f t="shared" si="4"/>
        <v>97.5</v>
      </c>
    </row>
    <row r="246" spans="2:16" x14ac:dyDescent="0.25">
      <c r="B246" s="12" t="s">
        <v>447</v>
      </c>
      <c r="C246" s="13" t="s">
        <v>448</v>
      </c>
      <c r="D246" s="14" t="s">
        <v>15</v>
      </c>
      <c r="E246" s="14" t="s">
        <v>56</v>
      </c>
      <c r="F246" s="15">
        <v>43531</v>
      </c>
      <c r="G246" s="16">
        <v>0.15</v>
      </c>
      <c r="H246" s="15">
        <v>43685</v>
      </c>
      <c r="I246" s="16">
        <v>7.0000000000000007E-2</v>
      </c>
      <c r="J246" s="15"/>
      <c r="K246" s="16"/>
      <c r="L246" s="15"/>
      <c r="M246" s="63"/>
      <c r="N246" s="17"/>
      <c r="O246" s="16"/>
      <c r="P246" s="18">
        <f t="shared" si="4"/>
        <v>0.22</v>
      </c>
    </row>
    <row r="247" spans="2:16" x14ac:dyDescent="0.25">
      <c r="B247" s="19" t="s">
        <v>571</v>
      </c>
      <c r="C247" s="20" t="s">
        <v>598</v>
      </c>
      <c r="D247" s="21" t="s">
        <v>55</v>
      </c>
      <c r="E247" s="22" t="s">
        <v>56</v>
      </c>
      <c r="F247" s="23">
        <v>43502</v>
      </c>
      <c r="G247" s="24">
        <v>0.36</v>
      </c>
      <c r="H247" s="23">
        <v>43593</v>
      </c>
      <c r="I247" s="24">
        <v>0.36</v>
      </c>
      <c r="J247" s="23">
        <v>43684</v>
      </c>
      <c r="K247" s="24">
        <v>0.36</v>
      </c>
      <c r="L247" s="23">
        <v>43781</v>
      </c>
      <c r="M247" s="77">
        <v>0.41</v>
      </c>
      <c r="N247" s="25"/>
      <c r="O247" s="24"/>
      <c r="P247" s="26">
        <f t="shared" si="4"/>
        <v>1.49</v>
      </c>
    </row>
    <row r="248" spans="2:16" x14ac:dyDescent="0.25">
      <c r="B248" s="12" t="s">
        <v>451</v>
      </c>
      <c r="C248" s="13" t="s">
        <v>452</v>
      </c>
      <c r="D248" s="14" t="s">
        <v>15</v>
      </c>
      <c r="E248" s="14" t="s">
        <v>56</v>
      </c>
      <c r="F248" s="15">
        <v>43542</v>
      </c>
      <c r="G248" s="16">
        <v>0.06</v>
      </c>
      <c r="H248" s="15">
        <v>43633</v>
      </c>
      <c r="I248" s="16">
        <v>0.06</v>
      </c>
      <c r="J248" s="15">
        <v>43724</v>
      </c>
      <c r="K248" s="16">
        <v>0.06</v>
      </c>
      <c r="L248" s="15">
        <v>43815</v>
      </c>
      <c r="M248" s="16">
        <v>0.06</v>
      </c>
      <c r="N248" s="17"/>
      <c r="O248" s="16"/>
      <c r="P248" s="18">
        <f t="shared" si="4"/>
        <v>0.24</v>
      </c>
    </row>
    <row r="249" spans="2:16" x14ac:dyDescent="0.25">
      <c r="B249" s="12" t="s">
        <v>453</v>
      </c>
      <c r="C249" s="13" t="s">
        <v>454</v>
      </c>
      <c r="D249" s="14" t="s">
        <v>24</v>
      </c>
      <c r="E249" s="14" t="s">
        <v>16</v>
      </c>
      <c r="F249" s="15">
        <v>43605</v>
      </c>
      <c r="G249" s="16">
        <v>0.65</v>
      </c>
      <c r="H249" s="15"/>
      <c r="I249" s="16"/>
      <c r="J249" s="15"/>
      <c r="K249" s="16"/>
      <c r="L249" s="15"/>
      <c r="M249" s="63"/>
      <c r="N249" s="17"/>
      <c r="O249" s="16"/>
      <c r="P249" s="18">
        <f t="shared" si="4"/>
        <v>0.65</v>
      </c>
    </row>
    <row r="250" spans="2:16" x14ac:dyDescent="0.25">
      <c r="B250" s="12" t="s">
        <v>455</v>
      </c>
      <c r="C250" s="13" t="s">
        <v>456</v>
      </c>
      <c r="D250" s="14" t="s">
        <v>15</v>
      </c>
      <c r="E250" s="14" t="s">
        <v>200</v>
      </c>
      <c r="F250" s="15">
        <v>43552</v>
      </c>
      <c r="G250" s="16">
        <v>5.5</v>
      </c>
      <c r="H250" s="15"/>
      <c r="I250" s="16"/>
      <c r="J250" s="15"/>
      <c r="K250" s="16"/>
      <c r="L250" s="15"/>
      <c r="M250" s="63"/>
      <c r="N250" s="17"/>
      <c r="O250" s="16"/>
      <c r="P250" s="18">
        <f t="shared" si="4"/>
        <v>5.5</v>
      </c>
    </row>
    <row r="251" spans="2:16" x14ac:dyDescent="0.25">
      <c r="B251" s="12" t="s">
        <v>457</v>
      </c>
      <c r="C251" s="13" t="s">
        <v>458</v>
      </c>
      <c r="D251" s="14" t="s">
        <v>15</v>
      </c>
      <c r="E251" s="14" t="s">
        <v>200</v>
      </c>
      <c r="F251" s="15">
        <v>43553</v>
      </c>
      <c r="G251" s="16">
        <v>14.2</v>
      </c>
      <c r="H251" s="15"/>
      <c r="I251" s="16"/>
      <c r="J251" s="15"/>
      <c r="K251" s="16"/>
      <c r="L251" s="15"/>
      <c r="M251" s="63"/>
      <c r="N251" s="17"/>
      <c r="O251" s="16"/>
      <c r="P251" s="18">
        <f t="shared" si="4"/>
        <v>14.2</v>
      </c>
    </row>
    <row r="252" spans="2:16" x14ac:dyDescent="0.25">
      <c r="B252" s="12" t="s">
        <v>459</v>
      </c>
      <c r="C252" s="13" t="s">
        <v>460</v>
      </c>
      <c r="D252" s="14" t="s">
        <v>15</v>
      </c>
      <c r="E252" s="14" t="s">
        <v>200</v>
      </c>
      <c r="F252" s="15">
        <v>43565</v>
      </c>
      <c r="G252" s="16">
        <v>10.5</v>
      </c>
      <c r="H252" s="15"/>
      <c r="I252" s="16"/>
      <c r="J252" s="15"/>
      <c r="K252" s="16"/>
      <c r="L252" s="15"/>
      <c r="M252" s="63"/>
      <c r="N252" s="17"/>
      <c r="O252" s="16"/>
      <c r="P252" s="18">
        <f t="shared" si="4"/>
        <v>10.5</v>
      </c>
    </row>
    <row r="253" spans="2:16" x14ac:dyDescent="0.25">
      <c r="B253" s="12" t="s">
        <v>461</v>
      </c>
      <c r="C253" s="13" t="s">
        <v>462</v>
      </c>
      <c r="D253" s="14" t="s">
        <v>15</v>
      </c>
      <c r="E253" s="14" t="s">
        <v>21</v>
      </c>
      <c r="F253" s="15">
        <v>43578</v>
      </c>
      <c r="G253" s="16">
        <v>5.6</v>
      </c>
      <c r="H253" s="15"/>
      <c r="I253" s="16"/>
      <c r="J253" s="15"/>
      <c r="K253" s="16"/>
      <c r="L253" s="15"/>
      <c r="M253" s="63"/>
      <c r="N253" s="17"/>
      <c r="O253" s="16"/>
      <c r="P253" s="18">
        <f t="shared" si="4"/>
        <v>5.6</v>
      </c>
    </row>
    <row r="254" spans="2:16" x14ac:dyDescent="0.25">
      <c r="B254" s="12" t="s">
        <v>463</v>
      </c>
      <c r="C254" s="13" t="s">
        <v>464</v>
      </c>
      <c r="D254" s="14" t="s">
        <v>15</v>
      </c>
      <c r="E254" s="14" t="s">
        <v>21</v>
      </c>
      <c r="F254" s="15">
        <v>43559</v>
      </c>
      <c r="G254" s="16">
        <v>22</v>
      </c>
      <c r="H254" s="15"/>
      <c r="I254" s="16"/>
      <c r="J254" s="15"/>
      <c r="K254" s="16"/>
      <c r="L254" s="15"/>
      <c r="M254" s="63"/>
      <c r="N254" s="17"/>
      <c r="O254" s="16"/>
      <c r="P254" s="18">
        <f t="shared" si="4"/>
        <v>22</v>
      </c>
    </row>
    <row r="255" spans="2:16" x14ac:dyDescent="0.25">
      <c r="B255" s="12" t="s">
        <v>465</v>
      </c>
      <c r="C255" s="13" t="s">
        <v>466</v>
      </c>
      <c r="D255" s="14" t="s">
        <v>24</v>
      </c>
      <c r="E255" s="14" t="s">
        <v>16</v>
      </c>
      <c r="F255" s="15">
        <v>43542</v>
      </c>
      <c r="G255" s="16">
        <f>0.13/1.1308</f>
        <v>0.11496285815351963</v>
      </c>
      <c r="H255" s="15">
        <v>43605</v>
      </c>
      <c r="I255" s="16">
        <f>0.13/1.1172</f>
        <v>0.1163623344074472</v>
      </c>
      <c r="J255" s="15">
        <v>43696</v>
      </c>
      <c r="K255" s="16">
        <f>0.13/1.1076</f>
        <v>0.11737089201877936</v>
      </c>
      <c r="L255" s="15">
        <v>43787</v>
      </c>
      <c r="M255" s="63">
        <f>0.13/1.1034</f>
        <v>0.11781765452238536</v>
      </c>
      <c r="N255" s="17"/>
      <c r="O255" s="16"/>
      <c r="P255" s="18">
        <f t="shared" si="4"/>
        <v>0.46651373910213156</v>
      </c>
    </row>
    <row r="256" spans="2:16" x14ac:dyDescent="0.25">
      <c r="B256" s="12" t="s">
        <v>467</v>
      </c>
      <c r="C256" s="13" t="s">
        <v>468</v>
      </c>
      <c r="D256" s="14" t="s">
        <v>15</v>
      </c>
      <c r="E256" s="14" t="s">
        <v>200</v>
      </c>
      <c r="F256" s="133">
        <v>43592</v>
      </c>
      <c r="G256" s="132">
        <f>2.2*0.95790951</f>
        <v>2.1074009220000001</v>
      </c>
      <c r="H256" s="15">
        <v>43739</v>
      </c>
      <c r="I256" s="16">
        <v>2.2000000000000002</v>
      </c>
      <c r="J256" s="15"/>
      <c r="K256" s="16"/>
      <c r="L256" s="15"/>
      <c r="M256" s="63"/>
      <c r="N256" s="17"/>
      <c r="O256" s="16"/>
      <c r="P256" s="18">
        <f t="shared" si="4"/>
        <v>4.3074009220000002</v>
      </c>
    </row>
    <row r="257" spans="2:16" x14ac:dyDescent="0.25">
      <c r="B257" s="12" t="s">
        <v>691</v>
      </c>
      <c r="C257" s="13" t="s">
        <v>690</v>
      </c>
      <c r="D257" s="14" t="s">
        <v>15</v>
      </c>
      <c r="E257" s="14" t="s">
        <v>200</v>
      </c>
      <c r="F257" s="133">
        <v>43592</v>
      </c>
      <c r="G257" s="106">
        <f>2.2*0.95790951</f>
        <v>2.1074009220000001</v>
      </c>
      <c r="H257" s="15">
        <v>43739</v>
      </c>
      <c r="I257" s="16">
        <v>2.2000000000000002</v>
      </c>
      <c r="J257" s="15"/>
      <c r="K257" s="16"/>
      <c r="L257" s="15"/>
      <c r="M257" s="63"/>
      <c r="N257" s="17"/>
      <c r="O257" s="16"/>
      <c r="P257" s="18">
        <f t="shared" si="4"/>
        <v>4.3074009220000002</v>
      </c>
    </row>
    <row r="258" spans="2:16" x14ac:dyDescent="0.25">
      <c r="B258" s="12" t="s">
        <v>469</v>
      </c>
      <c r="C258" s="13" t="s">
        <v>470</v>
      </c>
      <c r="D258" s="14" t="s">
        <v>15</v>
      </c>
      <c r="E258" s="14" t="s">
        <v>16</v>
      </c>
      <c r="F258" s="15"/>
      <c r="G258" s="16"/>
      <c r="H258" s="15"/>
      <c r="I258" s="16"/>
      <c r="J258" s="15"/>
      <c r="K258" s="16"/>
      <c r="L258" s="15"/>
      <c r="M258" s="63"/>
      <c r="N258" s="17"/>
      <c r="O258" s="16"/>
      <c r="P258" s="18">
        <f t="shared" si="4"/>
        <v>0</v>
      </c>
    </row>
    <row r="259" spans="2:16" x14ac:dyDescent="0.25">
      <c r="B259" s="12" t="s">
        <v>471</v>
      </c>
      <c r="C259" s="13" t="s">
        <v>472</v>
      </c>
      <c r="D259" s="14" t="s">
        <v>15</v>
      </c>
      <c r="E259" s="14" t="s">
        <v>16</v>
      </c>
      <c r="F259" s="15">
        <v>43634</v>
      </c>
      <c r="G259" s="16">
        <v>0.2</v>
      </c>
      <c r="H259" s="15">
        <v>43816</v>
      </c>
      <c r="I259" s="16">
        <v>0.2</v>
      </c>
      <c r="J259" s="15"/>
      <c r="K259" s="16"/>
      <c r="L259" s="15"/>
      <c r="M259" s="63"/>
      <c r="N259" s="17"/>
      <c r="O259" s="16"/>
      <c r="P259" s="18">
        <f t="shared" si="4"/>
        <v>0.4</v>
      </c>
    </row>
    <row r="260" spans="2:16" x14ac:dyDescent="0.25">
      <c r="B260" s="12" t="s">
        <v>473</v>
      </c>
      <c r="C260" s="13" t="s">
        <v>474</v>
      </c>
      <c r="D260" s="14" t="s">
        <v>15</v>
      </c>
      <c r="E260" s="14" t="s">
        <v>475</v>
      </c>
      <c r="F260" s="15">
        <v>43593</v>
      </c>
      <c r="G260" s="16">
        <v>4.4000000000000004</v>
      </c>
      <c r="H260" s="15">
        <v>43748</v>
      </c>
      <c r="I260" s="16">
        <v>4</v>
      </c>
      <c r="J260" s="15"/>
      <c r="K260" s="16"/>
      <c r="L260" s="15"/>
      <c r="M260" s="63"/>
      <c r="N260" s="17"/>
      <c r="O260" s="16"/>
      <c r="P260" s="18">
        <f t="shared" si="4"/>
        <v>8.4</v>
      </c>
    </row>
    <row r="261" spans="2:16" x14ac:dyDescent="0.25">
      <c r="B261" s="12" t="s">
        <v>476</v>
      </c>
      <c r="C261" s="13" t="s">
        <v>477</v>
      </c>
      <c r="D261" s="14" t="s">
        <v>15</v>
      </c>
      <c r="E261" s="14" t="s">
        <v>200</v>
      </c>
      <c r="F261" s="15">
        <v>43566</v>
      </c>
      <c r="G261" s="16">
        <v>1.18</v>
      </c>
      <c r="H261" s="15">
        <v>43761</v>
      </c>
      <c r="I261" s="16">
        <v>1.18</v>
      </c>
      <c r="J261" s="15"/>
      <c r="K261" s="16"/>
      <c r="L261" s="15"/>
      <c r="M261" s="63"/>
      <c r="N261" s="17"/>
      <c r="O261" s="16"/>
      <c r="P261" s="18">
        <f t="shared" si="4"/>
        <v>2.36</v>
      </c>
    </row>
    <row r="262" spans="2:16" x14ac:dyDescent="0.25">
      <c r="B262" s="12" t="s">
        <v>478</v>
      </c>
      <c r="C262" s="13" t="s">
        <v>479</v>
      </c>
      <c r="D262" s="14" t="s">
        <v>15</v>
      </c>
      <c r="E262" s="14" t="s">
        <v>16</v>
      </c>
      <c r="F262" s="15">
        <v>43640</v>
      </c>
      <c r="G262" s="16">
        <v>0.1545</v>
      </c>
      <c r="H262" s="15">
        <v>43483</v>
      </c>
      <c r="I262" s="16">
        <v>8.4199999999999997E-2</v>
      </c>
      <c r="J262" s="15"/>
      <c r="K262" s="16"/>
      <c r="L262" s="15"/>
      <c r="M262" s="63"/>
      <c r="N262" s="17"/>
      <c r="O262" s="16"/>
      <c r="P262" s="18">
        <f t="shared" si="4"/>
        <v>0.2387</v>
      </c>
    </row>
    <row r="263" spans="2:16" x14ac:dyDescent="0.25">
      <c r="B263" s="19" t="s">
        <v>576</v>
      </c>
      <c r="C263" s="20" t="s">
        <v>603</v>
      </c>
      <c r="D263" s="21" t="s">
        <v>55</v>
      </c>
      <c r="E263" s="22" t="s">
        <v>56</v>
      </c>
      <c r="F263" s="23">
        <v>43495</v>
      </c>
      <c r="G263" s="24">
        <v>0.77</v>
      </c>
      <c r="H263" s="23">
        <v>43588</v>
      </c>
      <c r="I263" s="24">
        <v>0.77</v>
      </c>
      <c r="J263" s="23">
        <v>43676</v>
      </c>
      <c r="K263" s="24">
        <v>0.77</v>
      </c>
      <c r="L263" s="23">
        <v>43768</v>
      </c>
      <c r="M263" s="77">
        <v>0.09</v>
      </c>
      <c r="N263" s="25"/>
      <c r="O263" s="24"/>
      <c r="P263" s="26">
        <f t="shared" si="4"/>
        <v>2.4</v>
      </c>
    </row>
    <row r="264" spans="2:16" x14ac:dyDescent="0.25">
      <c r="B264" s="12" t="s">
        <v>480</v>
      </c>
      <c r="C264" s="13" t="s">
        <v>481</v>
      </c>
      <c r="D264" s="14" t="s">
        <v>237</v>
      </c>
      <c r="E264" s="14" t="s">
        <v>16</v>
      </c>
      <c r="F264" s="15">
        <v>43573</v>
      </c>
      <c r="G264" s="16">
        <v>0.27943000000000001</v>
      </c>
      <c r="H264" s="15"/>
      <c r="I264" s="16"/>
      <c r="J264" s="15"/>
      <c r="K264" s="16"/>
      <c r="L264" s="15"/>
      <c r="M264" s="63"/>
      <c r="N264" s="17"/>
      <c r="O264" s="16"/>
      <c r="P264" s="18">
        <f t="shared" si="4"/>
        <v>0.27943000000000001</v>
      </c>
    </row>
    <row r="265" spans="2:16" x14ac:dyDescent="0.25">
      <c r="B265" s="12" t="s">
        <v>482</v>
      </c>
      <c r="C265" s="13" t="s">
        <v>483</v>
      </c>
      <c r="D265" s="14" t="s">
        <v>15</v>
      </c>
      <c r="E265" s="14" t="s">
        <v>21</v>
      </c>
      <c r="F265" s="15">
        <v>43612</v>
      </c>
      <c r="G265" s="16">
        <v>8</v>
      </c>
      <c r="H265" s="15"/>
      <c r="I265" s="16"/>
      <c r="J265" s="15"/>
      <c r="K265" s="16"/>
      <c r="L265" s="15"/>
      <c r="M265" s="63"/>
      <c r="N265" s="17"/>
      <c r="O265" s="16"/>
      <c r="P265" s="18">
        <f t="shared" si="4"/>
        <v>8</v>
      </c>
    </row>
    <row r="266" spans="2:16" x14ac:dyDescent="0.25">
      <c r="B266" s="12" t="s">
        <v>484</v>
      </c>
      <c r="C266" s="13" t="s">
        <v>485</v>
      </c>
      <c r="D266" s="14" t="s">
        <v>15</v>
      </c>
      <c r="E266" s="14" t="s">
        <v>16</v>
      </c>
      <c r="F266" s="15">
        <v>43500</v>
      </c>
      <c r="G266" s="16">
        <v>0.15</v>
      </c>
      <c r="H266" s="15"/>
      <c r="I266" s="16"/>
      <c r="J266" s="15"/>
      <c r="K266" s="16"/>
      <c r="L266" s="15"/>
      <c r="M266" s="63"/>
      <c r="N266" s="17"/>
      <c r="O266" s="16"/>
      <c r="P266" s="18">
        <f t="shared" si="4"/>
        <v>0.15</v>
      </c>
    </row>
    <row r="267" spans="2:16" x14ac:dyDescent="0.25">
      <c r="B267" s="12" t="s">
        <v>486</v>
      </c>
      <c r="C267" s="13" t="s">
        <v>487</v>
      </c>
      <c r="D267" s="14" t="s">
        <v>15</v>
      </c>
      <c r="E267" s="14" t="s">
        <v>16</v>
      </c>
      <c r="F267" s="15">
        <v>43605</v>
      </c>
      <c r="G267" s="16">
        <v>1</v>
      </c>
      <c r="H267" s="15"/>
      <c r="I267" s="16"/>
      <c r="J267" s="15"/>
      <c r="K267" s="16"/>
      <c r="L267" s="15"/>
      <c r="M267" s="63"/>
      <c r="N267" s="17"/>
      <c r="O267" s="16"/>
      <c r="P267" s="18">
        <f t="shared" si="4"/>
        <v>1</v>
      </c>
    </row>
    <row r="268" spans="2:16" x14ac:dyDescent="0.25">
      <c r="B268" s="12" t="s">
        <v>488</v>
      </c>
      <c r="C268" s="13" t="s">
        <v>489</v>
      </c>
      <c r="D268" s="14" t="s">
        <v>24</v>
      </c>
      <c r="E268" s="14" t="s">
        <v>16</v>
      </c>
      <c r="F268" s="15">
        <v>43543</v>
      </c>
      <c r="G268" s="16">
        <v>0.64</v>
      </c>
      <c r="H268" s="15">
        <v>43627</v>
      </c>
      <c r="I268" s="16">
        <v>0.64</v>
      </c>
      <c r="J268" s="15">
        <v>43735</v>
      </c>
      <c r="K268" s="16">
        <v>0.66</v>
      </c>
      <c r="L268" s="15"/>
      <c r="M268" s="63"/>
      <c r="N268" s="17"/>
      <c r="O268" s="16"/>
      <c r="P268" s="18">
        <f t="shared" ref="P268:P301" si="6">G268+I268+K268+M268+O268</f>
        <v>1.94</v>
      </c>
    </row>
    <row r="269" spans="2:16" x14ac:dyDescent="0.25">
      <c r="B269" s="12" t="s">
        <v>490</v>
      </c>
      <c r="C269" s="13" t="s">
        <v>491</v>
      </c>
      <c r="D269" s="14" t="s">
        <v>15</v>
      </c>
      <c r="E269" s="14" t="s">
        <v>16</v>
      </c>
      <c r="F269" s="15">
        <v>43605</v>
      </c>
      <c r="G269" s="16">
        <v>0.12</v>
      </c>
      <c r="H269" s="15"/>
      <c r="I269" s="16"/>
      <c r="J269" s="15"/>
      <c r="K269" s="16"/>
      <c r="L269" s="15"/>
      <c r="M269" s="63"/>
      <c r="N269" s="17"/>
      <c r="O269" s="16"/>
      <c r="P269" s="18">
        <f t="shared" si="6"/>
        <v>0.12</v>
      </c>
    </row>
    <row r="270" spans="2:16" x14ac:dyDescent="0.25">
      <c r="B270" s="12" t="s">
        <v>492</v>
      </c>
      <c r="C270" s="13" t="s">
        <v>493</v>
      </c>
      <c r="D270" s="14" t="s">
        <v>15</v>
      </c>
      <c r="E270" s="14" t="s">
        <v>21</v>
      </c>
      <c r="F270" s="15">
        <v>43591</v>
      </c>
      <c r="G270" s="16">
        <v>0.7</v>
      </c>
      <c r="H270" s="15"/>
      <c r="I270" s="16"/>
      <c r="J270" s="15"/>
      <c r="K270" s="16"/>
      <c r="L270" s="15"/>
      <c r="M270" s="63"/>
      <c r="N270" s="17"/>
      <c r="O270" s="16"/>
      <c r="P270" s="18">
        <f t="shared" si="6"/>
        <v>0.7</v>
      </c>
    </row>
    <row r="271" spans="2:16" x14ac:dyDescent="0.25">
      <c r="B271" s="12" t="s">
        <v>494</v>
      </c>
      <c r="C271" s="13" t="s">
        <v>495</v>
      </c>
      <c r="D271" s="14" t="s">
        <v>27</v>
      </c>
      <c r="E271" s="14" t="s">
        <v>16</v>
      </c>
      <c r="F271" s="15">
        <v>43581</v>
      </c>
      <c r="G271" s="16">
        <v>1.21</v>
      </c>
      <c r="H271" s="15"/>
      <c r="I271" s="16"/>
      <c r="J271" s="15"/>
      <c r="K271" s="16"/>
      <c r="L271" s="15"/>
      <c r="M271" s="63"/>
      <c r="N271" s="17"/>
      <c r="O271" s="16"/>
      <c r="P271" s="18">
        <f t="shared" si="6"/>
        <v>1.21</v>
      </c>
    </row>
    <row r="272" spans="2:16" x14ac:dyDescent="0.25">
      <c r="B272" s="12" t="s">
        <v>496</v>
      </c>
      <c r="C272" s="13" t="s">
        <v>497</v>
      </c>
      <c r="D272" s="14" t="s">
        <v>27</v>
      </c>
      <c r="E272" s="14" t="s">
        <v>16</v>
      </c>
      <c r="F272" s="15">
        <v>43584</v>
      </c>
      <c r="G272" s="16">
        <v>0.4</v>
      </c>
      <c r="H272" s="15">
        <v>43700</v>
      </c>
      <c r="I272" s="16">
        <v>0.375</v>
      </c>
      <c r="J272" s="15"/>
      <c r="K272" s="16"/>
      <c r="L272" s="15"/>
      <c r="M272" s="63"/>
      <c r="N272" s="17"/>
      <c r="O272" s="16"/>
      <c r="P272" s="18">
        <f t="shared" si="6"/>
        <v>0.77500000000000002</v>
      </c>
    </row>
    <row r="273" spans="2:16" x14ac:dyDescent="0.25">
      <c r="B273" s="12" t="s">
        <v>622</v>
      </c>
      <c r="C273" s="13" t="s">
        <v>499</v>
      </c>
      <c r="D273" s="14" t="s">
        <v>15</v>
      </c>
      <c r="E273" s="14" t="s">
        <v>16</v>
      </c>
      <c r="F273" s="15">
        <v>43551</v>
      </c>
      <c r="G273" s="16">
        <v>5.4</v>
      </c>
      <c r="H273" s="15">
        <v>43649</v>
      </c>
      <c r="I273" s="16">
        <v>5.4</v>
      </c>
      <c r="J273" s="15"/>
      <c r="K273" s="16"/>
      <c r="L273" s="15"/>
      <c r="M273" s="63"/>
      <c r="N273" s="17"/>
      <c r="O273" s="16"/>
      <c r="P273" s="18">
        <f t="shared" si="6"/>
        <v>10.8</v>
      </c>
    </row>
    <row r="274" spans="2:16" x14ac:dyDescent="0.25">
      <c r="B274" s="12" t="s">
        <v>500</v>
      </c>
      <c r="C274" s="13" t="s">
        <v>501</v>
      </c>
      <c r="D274" s="14" t="s">
        <v>15</v>
      </c>
      <c r="E274" s="14" t="s">
        <v>16</v>
      </c>
      <c r="F274" s="15">
        <v>43578</v>
      </c>
      <c r="G274" s="16">
        <v>0.27</v>
      </c>
      <c r="H274" s="15"/>
      <c r="I274" s="16"/>
      <c r="J274" s="15"/>
      <c r="K274" s="16"/>
      <c r="L274" s="15"/>
      <c r="M274" s="63"/>
      <c r="N274" s="17"/>
      <c r="O274" s="16"/>
      <c r="P274" s="18">
        <f t="shared" si="6"/>
        <v>0.27</v>
      </c>
    </row>
    <row r="275" spans="2:16" x14ac:dyDescent="0.25">
      <c r="B275" s="12" t="s">
        <v>504</v>
      </c>
      <c r="C275" s="13" t="s">
        <v>505</v>
      </c>
      <c r="D275" s="14" t="s">
        <v>15</v>
      </c>
      <c r="E275" s="14" t="s">
        <v>16</v>
      </c>
      <c r="F275" s="15">
        <v>43510</v>
      </c>
      <c r="G275" s="16">
        <v>0.38719999999999999</v>
      </c>
      <c r="H275" s="15">
        <v>43587</v>
      </c>
      <c r="I275" s="16">
        <v>0.41039999999999999</v>
      </c>
      <c r="J275" s="15">
        <v>43685</v>
      </c>
      <c r="K275" s="16">
        <v>0.41039999999999999</v>
      </c>
      <c r="L275" s="15">
        <v>43769</v>
      </c>
      <c r="M275" s="63">
        <v>0.41039999999999999</v>
      </c>
      <c r="N275" s="17"/>
      <c r="O275" s="16"/>
      <c r="P275" s="18">
        <f t="shared" si="6"/>
        <v>1.6183999999999998</v>
      </c>
    </row>
    <row r="276" spans="2:16" x14ac:dyDescent="0.25">
      <c r="B276" s="12" t="s">
        <v>506</v>
      </c>
      <c r="C276" s="13" t="s">
        <v>507</v>
      </c>
      <c r="D276" s="14" t="s">
        <v>15</v>
      </c>
      <c r="E276" s="14" t="s">
        <v>77</v>
      </c>
      <c r="F276" s="15">
        <v>43510</v>
      </c>
      <c r="G276" s="16">
        <v>33.61</v>
      </c>
      <c r="H276" s="15">
        <v>43587</v>
      </c>
      <c r="I276" s="16">
        <v>35.46</v>
      </c>
      <c r="J276" s="15">
        <v>43685</v>
      </c>
      <c r="K276" s="16">
        <v>36.82</v>
      </c>
      <c r="L276" s="15">
        <v>43769</v>
      </c>
      <c r="M276" s="63">
        <v>0.41039999999999999</v>
      </c>
      <c r="N276" s="17"/>
      <c r="O276" s="16"/>
      <c r="P276" s="18">
        <f t="shared" si="6"/>
        <v>106.30039999999998</v>
      </c>
    </row>
    <row r="277" spans="2:16" x14ac:dyDescent="0.25">
      <c r="B277" s="19" t="s">
        <v>569</v>
      </c>
      <c r="C277" s="20" t="s">
        <v>596</v>
      </c>
      <c r="D277" s="21" t="s">
        <v>55</v>
      </c>
      <c r="E277" s="22" t="s">
        <v>56</v>
      </c>
      <c r="F277" s="23">
        <v>43523</v>
      </c>
      <c r="G277" s="24">
        <v>0.88</v>
      </c>
      <c r="H277" s="23">
        <v>43615</v>
      </c>
      <c r="I277" s="24">
        <v>0.88</v>
      </c>
      <c r="J277" s="23">
        <v>43706</v>
      </c>
      <c r="K277" s="24">
        <v>0.97</v>
      </c>
      <c r="L277" s="23">
        <v>43796</v>
      </c>
      <c r="M277" s="77">
        <v>0.97</v>
      </c>
      <c r="N277" s="25"/>
      <c r="O277" s="24"/>
      <c r="P277" s="26">
        <f t="shared" si="6"/>
        <v>3.7</v>
      </c>
    </row>
    <row r="278" spans="2:16" x14ac:dyDescent="0.25">
      <c r="B278" s="12" t="s">
        <v>508</v>
      </c>
      <c r="C278" s="13" t="s">
        <v>509</v>
      </c>
      <c r="D278" s="14" t="s">
        <v>15</v>
      </c>
      <c r="E278" s="14" t="s">
        <v>16</v>
      </c>
      <c r="F278" s="15">
        <v>43605</v>
      </c>
      <c r="G278" s="16">
        <v>0.14499999999999999</v>
      </c>
      <c r="H278" s="15"/>
      <c r="I278" s="16"/>
      <c r="J278" s="15"/>
      <c r="K278" s="16"/>
      <c r="L278" s="15"/>
      <c r="M278" s="63"/>
      <c r="N278" s="17"/>
      <c r="O278" s="16"/>
      <c r="P278" s="18">
        <f t="shared" si="6"/>
        <v>0.14499999999999999</v>
      </c>
    </row>
    <row r="279" spans="2:16" x14ac:dyDescent="0.25">
      <c r="B279" s="19" t="s">
        <v>573</v>
      </c>
      <c r="C279" s="20" t="s">
        <v>600</v>
      </c>
      <c r="D279" s="21" t="s">
        <v>55</v>
      </c>
      <c r="E279" s="22" t="s">
        <v>56</v>
      </c>
      <c r="F279" s="23">
        <v>43510</v>
      </c>
      <c r="G279" s="24">
        <v>0.73499999999999999</v>
      </c>
      <c r="H279" s="23">
        <v>43601</v>
      </c>
      <c r="I279" s="24">
        <v>0.73499999999999999</v>
      </c>
      <c r="J279" s="23">
        <v>43692</v>
      </c>
      <c r="K279" s="24">
        <v>0.73499999999999999</v>
      </c>
      <c r="L279" s="23">
        <v>43783</v>
      </c>
      <c r="M279" s="77">
        <v>0.73499999999999999</v>
      </c>
      <c r="N279" s="25"/>
      <c r="O279" s="24"/>
      <c r="P279" s="26">
        <f t="shared" si="6"/>
        <v>2.94</v>
      </c>
    </row>
    <row r="280" spans="2:16" x14ac:dyDescent="0.25">
      <c r="B280" s="12" t="s">
        <v>510</v>
      </c>
      <c r="C280" s="13" t="s">
        <v>511</v>
      </c>
      <c r="D280" s="14" t="s">
        <v>15</v>
      </c>
      <c r="E280" s="14" t="s">
        <v>77</v>
      </c>
      <c r="F280" s="15">
        <v>43626</v>
      </c>
      <c r="G280" s="16">
        <v>27.52</v>
      </c>
      <c r="H280" s="15">
        <v>43818</v>
      </c>
      <c r="I280" s="16">
        <v>14.2</v>
      </c>
      <c r="J280" s="15"/>
      <c r="K280" s="16"/>
      <c r="L280" s="15"/>
      <c r="M280" s="63"/>
      <c r="N280" s="17"/>
      <c r="O280" s="16"/>
      <c r="P280" s="18">
        <f t="shared" si="6"/>
        <v>41.72</v>
      </c>
    </row>
    <row r="281" spans="2:16" x14ac:dyDescent="0.25">
      <c r="B281" s="19" t="s">
        <v>552</v>
      </c>
      <c r="C281" s="20" t="s">
        <v>579</v>
      </c>
      <c r="D281" s="21" t="s">
        <v>55</v>
      </c>
      <c r="E281" s="22" t="s">
        <v>56</v>
      </c>
      <c r="F281" s="23">
        <v>43532</v>
      </c>
      <c r="G281" s="24">
        <v>0.9</v>
      </c>
      <c r="H281" s="23">
        <v>43630</v>
      </c>
      <c r="I281" s="24">
        <v>1.08</v>
      </c>
      <c r="J281" s="23">
        <v>43721</v>
      </c>
      <c r="K281" s="24">
        <v>1.08</v>
      </c>
      <c r="L281" s="23">
        <v>43805</v>
      </c>
      <c r="M281" s="77">
        <v>1.08</v>
      </c>
      <c r="N281" s="25"/>
      <c r="O281" s="24"/>
      <c r="P281" s="26">
        <f t="shared" si="6"/>
        <v>4.1400000000000006</v>
      </c>
    </row>
    <row r="282" spans="2:16" x14ac:dyDescent="0.25">
      <c r="B282" s="19" t="s">
        <v>574</v>
      </c>
      <c r="C282" s="20" t="s">
        <v>601</v>
      </c>
      <c r="D282" s="21" t="s">
        <v>55</v>
      </c>
      <c r="E282" s="22" t="s">
        <v>56</v>
      </c>
      <c r="F282" s="23">
        <v>43552</v>
      </c>
      <c r="G282" s="24">
        <v>0.37</v>
      </c>
      <c r="H282" s="23">
        <v>43643</v>
      </c>
      <c r="I282" s="24">
        <v>0.37</v>
      </c>
      <c r="J282" s="23">
        <v>43735</v>
      </c>
      <c r="K282" s="24">
        <v>0.42</v>
      </c>
      <c r="L282" s="23">
        <v>43829</v>
      </c>
      <c r="M282" s="77">
        <v>0.42</v>
      </c>
      <c r="N282" s="25"/>
      <c r="O282" s="24"/>
      <c r="P282" s="26">
        <f t="shared" si="6"/>
        <v>1.5799999999999998</v>
      </c>
    </row>
    <row r="283" spans="2:16" x14ac:dyDescent="0.25">
      <c r="B283" s="12" t="s">
        <v>512</v>
      </c>
      <c r="C283" s="13" t="s">
        <v>513</v>
      </c>
      <c r="D283" s="14" t="s">
        <v>24</v>
      </c>
      <c r="E283" s="14" t="s">
        <v>16</v>
      </c>
      <c r="F283" s="15">
        <v>43615</v>
      </c>
      <c r="G283" s="16">
        <v>1.25</v>
      </c>
      <c r="H283" s="15"/>
      <c r="I283" s="16"/>
      <c r="J283" s="15"/>
      <c r="K283" s="16"/>
      <c r="L283" s="15"/>
      <c r="M283" s="63"/>
      <c r="N283" s="17"/>
      <c r="O283" s="16"/>
      <c r="P283" s="18">
        <f t="shared" si="6"/>
        <v>1.25</v>
      </c>
    </row>
    <row r="284" spans="2:16" x14ac:dyDescent="0.25">
      <c r="B284" s="12" t="s">
        <v>514</v>
      </c>
      <c r="C284" s="13" t="s">
        <v>515</v>
      </c>
      <c r="D284" s="14" t="s">
        <v>24</v>
      </c>
      <c r="E284" s="14" t="s">
        <v>16</v>
      </c>
      <c r="F284" s="15"/>
      <c r="G284" s="16"/>
      <c r="H284" s="15"/>
      <c r="I284" s="16"/>
      <c r="J284" s="15"/>
      <c r="K284" s="16"/>
      <c r="L284" s="15"/>
      <c r="M284" s="63"/>
      <c r="N284" s="17"/>
      <c r="O284" s="16"/>
      <c r="P284" s="18">
        <f t="shared" si="6"/>
        <v>0</v>
      </c>
    </row>
    <row r="285" spans="2:16" x14ac:dyDescent="0.25">
      <c r="B285" s="12" t="s">
        <v>516</v>
      </c>
      <c r="C285" s="13" t="s">
        <v>517</v>
      </c>
      <c r="D285" s="14" t="s">
        <v>24</v>
      </c>
      <c r="E285" s="14" t="s">
        <v>16</v>
      </c>
      <c r="F285" s="15">
        <v>43599</v>
      </c>
      <c r="G285" s="16">
        <v>0.92</v>
      </c>
      <c r="H285" s="15"/>
      <c r="I285" s="16"/>
      <c r="J285" s="15"/>
      <c r="K285" s="16"/>
      <c r="L285" s="15"/>
      <c r="M285" s="63"/>
      <c r="N285" s="17"/>
      <c r="O285" s="16"/>
      <c r="P285" s="18">
        <f t="shared" si="6"/>
        <v>0.92</v>
      </c>
    </row>
    <row r="286" spans="2:16" x14ac:dyDescent="0.25">
      <c r="B286" s="19" t="s">
        <v>518</v>
      </c>
      <c r="C286" s="20" t="s">
        <v>519</v>
      </c>
      <c r="D286" s="21" t="s">
        <v>55</v>
      </c>
      <c r="E286" s="22" t="s">
        <v>56</v>
      </c>
      <c r="F286" s="23">
        <v>43564</v>
      </c>
      <c r="G286" s="24">
        <v>0.60250000000000004</v>
      </c>
      <c r="H286" s="23">
        <v>43655</v>
      </c>
      <c r="I286" s="24">
        <v>0.60250000000000004</v>
      </c>
      <c r="J286" s="23">
        <v>43747</v>
      </c>
      <c r="K286" s="24">
        <v>0.24</v>
      </c>
      <c r="L286" s="23">
        <v>43839</v>
      </c>
      <c r="M286" s="77">
        <v>0.61499999999999999</v>
      </c>
      <c r="N286" s="25"/>
      <c r="O286" s="24"/>
      <c r="P286" s="26">
        <f t="shared" si="6"/>
        <v>2.06</v>
      </c>
    </row>
    <row r="287" spans="2:16" x14ac:dyDescent="0.25">
      <c r="B287" s="12" t="s">
        <v>520</v>
      </c>
      <c r="C287" s="13" t="s">
        <v>521</v>
      </c>
      <c r="D287" s="14" t="s">
        <v>24</v>
      </c>
      <c r="E287" s="14" t="s">
        <v>16</v>
      </c>
      <c r="F287" s="15">
        <v>43578</v>
      </c>
      <c r="G287" s="16">
        <v>1.92</v>
      </c>
      <c r="H287" s="15">
        <v>43774</v>
      </c>
      <c r="I287" s="16">
        <v>0.79</v>
      </c>
      <c r="J287" s="15"/>
      <c r="K287" s="16"/>
      <c r="L287" s="15"/>
      <c r="M287" s="63"/>
      <c r="N287" s="17"/>
      <c r="O287" s="16"/>
      <c r="P287" s="18">
        <f t="shared" si="6"/>
        <v>2.71</v>
      </c>
    </row>
    <row r="288" spans="2:16" x14ac:dyDescent="0.25">
      <c r="B288" s="19" t="s">
        <v>522</v>
      </c>
      <c r="C288" s="20" t="s">
        <v>523</v>
      </c>
      <c r="D288" s="21" t="s">
        <v>55</v>
      </c>
      <c r="E288" s="22" t="s">
        <v>56</v>
      </c>
      <c r="F288" s="23">
        <v>43510</v>
      </c>
      <c r="G288" s="24">
        <v>0.25</v>
      </c>
      <c r="H288" s="23">
        <v>43601</v>
      </c>
      <c r="I288" s="24">
        <v>0.25</v>
      </c>
      <c r="J288" s="23">
        <v>43692</v>
      </c>
      <c r="K288" s="24">
        <v>0.25</v>
      </c>
      <c r="L288" s="23">
        <v>43783</v>
      </c>
      <c r="M288" s="77">
        <v>0.3</v>
      </c>
      <c r="N288" s="25"/>
      <c r="O288" s="24"/>
      <c r="P288" s="26">
        <f t="shared" si="6"/>
        <v>1.05</v>
      </c>
    </row>
    <row r="289" spans="2:16" x14ac:dyDescent="0.25">
      <c r="B289" s="12" t="s">
        <v>524</v>
      </c>
      <c r="C289" s="13" t="s">
        <v>525</v>
      </c>
      <c r="D289" s="14" t="s">
        <v>24</v>
      </c>
      <c r="E289" s="14" t="s">
        <v>16</v>
      </c>
      <c r="F289" s="15">
        <v>43571</v>
      </c>
      <c r="G289" s="16">
        <v>0.5</v>
      </c>
      <c r="H289" s="15"/>
      <c r="I289" s="16"/>
      <c r="J289" s="15"/>
      <c r="K289" s="16"/>
      <c r="L289" s="15"/>
      <c r="M289" s="63"/>
      <c r="N289" s="17"/>
      <c r="O289" s="16"/>
      <c r="P289" s="18">
        <f t="shared" si="6"/>
        <v>0.5</v>
      </c>
    </row>
    <row r="290" spans="2:16" x14ac:dyDescent="0.25">
      <c r="B290" s="12" t="s">
        <v>526</v>
      </c>
      <c r="C290" s="13" t="s">
        <v>527</v>
      </c>
      <c r="D290" s="14" t="s">
        <v>15</v>
      </c>
      <c r="E290" s="14" t="s">
        <v>77</v>
      </c>
      <c r="F290" s="15">
        <v>43622</v>
      </c>
      <c r="G290" s="16">
        <f>4.16*0.89545</f>
        <v>3.7250719999999999</v>
      </c>
      <c r="H290" s="15">
        <v>43797</v>
      </c>
      <c r="I290" s="16">
        <f>0.045*0.8545*100</f>
        <v>3.8452500000000001</v>
      </c>
      <c r="J290" s="15"/>
      <c r="K290" s="16"/>
      <c r="L290" s="15"/>
      <c r="M290" s="63"/>
      <c r="N290" s="17"/>
      <c r="O290" s="16"/>
      <c r="P290" s="18">
        <f t="shared" si="6"/>
        <v>7.570322</v>
      </c>
    </row>
    <row r="291" spans="2:16" x14ac:dyDescent="0.25">
      <c r="B291" s="12" t="s">
        <v>528</v>
      </c>
      <c r="C291" s="13" t="s">
        <v>529</v>
      </c>
      <c r="D291" s="14" t="s">
        <v>15</v>
      </c>
      <c r="E291" s="14" t="s">
        <v>16</v>
      </c>
      <c r="F291" s="15">
        <v>43600</v>
      </c>
      <c r="G291" s="16">
        <v>4.8600000000000003</v>
      </c>
      <c r="H291" s="15"/>
      <c r="I291" s="16"/>
      <c r="J291" s="15"/>
      <c r="K291" s="16"/>
      <c r="L291" s="15"/>
      <c r="M291" s="63"/>
      <c r="N291" s="17"/>
      <c r="O291" s="16"/>
      <c r="P291" s="18">
        <f t="shared" si="6"/>
        <v>4.8600000000000003</v>
      </c>
    </row>
    <row r="292" spans="2:16" x14ac:dyDescent="0.25">
      <c r="B292" s="12" t="s">
        <v>530</v>
      </c>
      <c r="C292" s="13" t="s">
        <v>531</v>
      </c>
      <c r="D292" s="14" t="s">
        <v>15</v>
      </c>
      <c r="E292" s="14" t="s">
        <v>200</v>
      </c>
      <c r="F292" s="29">
        <v>43559</v>
      </c>
      <c r="G292" s="71">
        <f>5*0.96629592</f>
        <v>4.8314795999999998</v>
      </c>
      <c r="H292" s="15"/>
      <c r="I292" s="16"/>
      <c r="J292" s="15"/>
      <c r="K292" s="16"/>
      <c r="L292" s="15"/>
      <c r="M292" s="63"/>
      <c r="N292" s="17"/>
      <c r="O292" s="16"/>
      <c r="P292" s="18">
        <f t="shared" si="6"/>
        <v>4.8314795999999998</v>
      </c>
    </row>
    <row r="293" spans="2:16" x14ac:dyDescent="0.25">
      <c r="B293" s="12" t="s">
        <v>532</v>
      </c>
      <c r="C293" s="13" t="s">
        <v>533</v>
      </c>
      <c r="D293" s="14" t="s">
        <v>15</v>
      </c>
      <c r="E293" s="14" t="s">
        <v>16</v>
      </c>
      <c r="F293" s="15">
        <v>43602</v>
      </c>
      <c r="G293" s="16">
        <v>1.44</v>
      </c>
      <c r="H293" s="15"/>
      <c r="I293" s="16"/>
      <c r="J293" s="15"/>
      <c r="K293" s="16"/>
      <c r="L293" s="15"/>
      <c r="M293" s="63"/>
      <c r="N293" s="17"/>
      <c r="O293" s="16"/>
      <c r="P293" s="18">
        <f t="shared" si="6"/>
        <v>1.44</v>
      </c>
    </row>
    <row r="294" spans="2:16" x14ac:dyDescent="0.25">
      <c r="B294" s="12" t="s">
        <v>534</v>
      </c>
      <c r="C294" s="13" t="s">
        <v>535</v>
      </c>
      <c r="D294" s="14" t="s">
        <v>15</v>
      </c>
      <c r="E294" s="14" t="s">
        <v>16</v>
      </c>
      <c r="F294" s="15">
        <v>43578</v>
      </c>
      <c r="G294" s="16">
        <v>1.1000000000000001</v>
      </c>
      <c r="H294" s="15"/>
      <c r="I294" s="16"/>
      <c r="J294" s="15"/>
      <c r="K294" s="16"/>
      <c r="L294" s="15"/>
      <c r="M294" s="63"/>
      <c r="N294" s="17"/>
      <c r="O294" s="16"/>
      <c r="P294" s="18">
        <f t="shared" si="6"/>
        <v>1.1000000000000001</v>
      </c>
    </row>
    <row r="295" spans="2:16" x14ac:dyDescent="0.25">
      <c r="B295" s="19" t="s">
        <v>631</v>
      </c>
      <c r="C295" s="20" t="s">
        <v>587</v>
      </c>
      <c r="D295" s="21" t="s">
        <v>55</v>
      </c>
      <c r="E295" s="22" t="s">
        <v>56</v>
      </c>
      <c r="F295" s="23">
        <v>43538</v>
      </c>
      <c r="G295" s="24">
        <v>0.53</v>
      </c>
      <c r="H295" s="23">
        <v>43594</v>
      </c>
      <c r="I295" s="24">
        <v>0.53</v>
      </c>
      <c r="J295" s="23">
        <v>43685</v>
      </c>
      <c r="K295" s="24">
        <v>0.53</v>
      </c>
      <c r="L295" s="23">
        <v>43804</v>
      </c>
      <c r="M295" s="77">
        <v>0.53</v>
      </c>
      <c r="N295" s="25"/>
      <c r="O295" s="24"/>
      <c r="P295" s="26">
        <f t="shared" si="6"/>
        <v>2.12</v>
      </c>
    </row>
    <row r="296" spans="2:16" x14ac:dyDescent="0.25">
      <c r="B296" s="19" t="s">
        <v>536</v>
      </c>
      <c r="C296" s="20" t="s">
        <v>537</v>
      </c>
      <c r="D296" s="21" t="s">
        <v>55</v>
      </c>
      <c r="E296" s="22" t="s">
        <v>56</v>
      </c>
      <c r="F296" s="23">
        <v>43651</v>
      </c>
      <c r="G296" s="24">
        <v>0.88</v>
      </c>
      <c r="H296" s="23">
        <v>43812</v>
      </c>
      <c r="I296" s="24">
        <v>0.88</v>
      </c>
      <c r="J296" s="23"/>
      <c r="K296" s="24"/>
      <c r="L296" s="23"/>
      <c r="M296" s="77"/>
      <c r="N296" s="25"/>
      <c r="O296" s="24"/>
      <c r="P296" s="26">
        <f t="shared" si="6"/>
        <v>1.76</v>
      </c>
    </row>
    <row r="297" spans="2:16" x14ac:dyDescent="0.25">
      <c r="B297" s="19" t="s">
        <v>538</v>
      </c>
      <c r="C297" s="20" t="s">
        <v>539</v>
      </c>
      <c r="D297" s="21" t="s">
        <v>55</v>
      </c>
      <c r="E297" s="22" t="s">
        <v>56</v>
      </c>
      <c r="F297" s="23">
        <v>43496</v>
      </c>
      <c r="G297" s="24">
        <v>0.45</v>
      </c>
      <c r="H297" s="23">
        <v>43594</v>
      </c>
      <c r="I297" s="24">
        <v>0.45</v>
      </c>
      <c r="J297" s="23">
        <v>43685</v>
      </c>
      <c r="K297" s="24">
        <v>0.51</v>
      </c>
      <c r="L297" s="23">
        <v>43776</v>
      </c>
      <c r="M297" s="24">
        <v>0.51</v>
      </c>
      <c r="N297" s="25"/>
      <c r="O297" s="24"/>
      <c r="P297" s="26">
        <f t="shared" si="6"/>
        <v>1.9200000000000002</v>
      </c>
    </row>
    <row r="298" spans="2:16" x14ac:dyDescent="0.25">
      <c r="B298" s="12" t="s">
        <v>540</v>
      </c>
      <c r="C298" s="13" t="s">
        <v>541</v>
      </c>
      <c r="D298" s="14" t="s">
        <v>15</v>
      </c>
      <c r="E298" s="14" t="s">
        <v>77</v>
      </c>
      <c r="F298" s="29">
        <v>43608</v>
      </c>
      <c r="G298" s="71">
        <f>4.75*0.98045252*0.9900035</f>
        <v>4.6105942753231455</v>
      </c>
      <c r="H298" s="29">
        <v>43734</v>
      </c>
      <c r="I298" s="71">
        <f>1.93*0.9900035</f>
        <v>1.9107067550000001</v>
      </c>
      <c r="J298" s="15"/>
      <c r="K298" s="16"/>
      <c r="L298" s="15"/>
      <c r="M298" s="63"/>
      <c r="N298" s="17"/>
      <c r="O298" s="16"/>
      <c r="P298" s="18">
        <f t="shared" si="6"/>
        <v>6.521301030323146</v>
      </c>
    </row>
    <row r="299" spans="2:16" x14ac:dyDescent="0.25">
      <c r="B299" s="12" t="s">
        <v>542</v>
      </c>
      <c r="C299" s="13" t="s">
        <v>543</v>
      </c>
      <c r="D299" s="14" t="s">
        <v>15</v>
      </c>
      <c r="E299" s="14" t="s">
        <v>16</v>
      </c>
      <c r="F299" s="15">
        <v>43579</v>
      </c>
      <c r="G299" s="16">
        <v>0.64</v>
      </c>
      <c r="H299" s="15">
        <v>43704</v>
      </c>
      <c r="I299" s="16">
        <v>0.39</v>
      </c>
      <c r="J299" s="15"/>
      <c r="K299" s="16"/>
      <c r="L299" s="15"/>
      <c r="M299" s="63"/>
      <c r="N299" s="17"/>
      <c r="O299" s="16"/>
      <c r="P299" s="18">
        <f t="shared" si="6"/>
        <v>1.03</v>
      </c>
    </row>
    <row r="300" spans="2:16" x14ac:dyDescent="0.25">
      <c r="B300" s="12" t="s">
        <v>544</v>
      </c>
      <c r="C300" s="13" t="s">
        <v>545</v>
      </c>
      <c r="D300" s="14" t="s">
        <v>15</v>
      </c>
      <c r="E300" s="14" t="s">
        <v>77</v>
      </c>
      <c r="F300" s="15">
        <v>43629</v>
      </c>
      <c r="G300" s="16">
        <v>37.299999999999997</v>
      </c>
      <c r="H300" s="15">
        <v>43741</v>
      </c>
      <c r="I300" s="16">
        <v>22.7</v>
      </c>
      <c r="J300" s="15"/>
      <c r="K300" s="16"/>
      <c r="L300" s="15"/>
      <c r="M300" s="63"/>
      <c r="N300" s="17"/>
      <c r="O300" s="16"/>
      <c r="P300" s="18">
        <f t="shared" si="6"/>
        <v>60</v>
      </c>
    </row>
    <row r="301" spans="2:16" x14ac:dyDescent="0.25">
      <c r="B301" s="12" t="s">
        <v>548</v>
      </c>
      <c r="C301" s="13" t="s">
        <v>549</v>
      </c>
      <c r="D301" s="14" t="s">
        <v>15</v>
      </c>
      <c r="E301" s="14" t="s">
        <v>21</v>
      </c>
      <c r="F301" s="15">
        <v>43560</v>
      </c>
      <c r="G301" s="16">
        <v>19</v>
      </c>
      <c r="H301" s="15"/>
      <c r="I301" s="16"/>
      <c r="J301" s="15"/>
      <c r="K301" s="16"/>
      <c r="L301" s="15"/>
      <c r="M301" s="63"/>
      <c r="N301" s="17"/>
      <c r="O301" s="16"/>
      <c r="P301" s="18">
        <f t="shared" si="6"/>
        <v>19</v>
      </c>
    </row>
  </sheetData>
  <mergeCells count="2">
    <mergeCell ref="L9:M9"/>
    <mergeCell ref="F11:O11"/>
  </mergeCells>
  <pageMargins left="0.7" right="0.7" top="0.75" bottom="0.75" header="0.3" footer="0.3"/>
  <pageSetup paperSize="9" orientation="portrait" r:id="rId1"/>
  <ignoredErrors>
    <ignoredError sqref="G292" unlockedFormula="1"/>
  </ignoredError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4"/>
  <dimension ref="A1:Q310"/>
  <sheetViews>
    <sheetView showGridLines="0" zoomScale="85" zoomScaleNormal="85" workbookViewId="0">
      <selection activeCell="P35" sqref="P35"/>
    </sheetView>
  </sheetViews>
  <sheetFormatPr defaultColWidth="0" defaultRowHeight="15" x14ac:dyDescent="0.25"/>
  <cols>
    <col min="1" max="1" width="3" customWidth="1"/>
    <col min="2" max="2" width="40.5703125" bestFit="1" customWidth="1"/>
    <col min="3" max="3" width="13.7109375" bestFit="1" customWidth="1"/>
    <col min="4" max="4" width="15.5703125" bestFit="1" customWidth="1"/>
    <col min="5" max="5" width="9.28515625" customWidth="1"/>
    <col min="6" max="6" width="9.7109375" customWidth="1"/>
    <col min="7" max="7" width="9.28515625" customWidth="1"/>
    <col min="8" max="8" width="9.7109375" customWidth="1"/>
    <col min="9" max="9" width="9.28515625" customWidth="1"/>
    <col min="10" max="10" width="9.5703125" bestFit="1" customWidth="1"/>
    <col min="11" max="11" width="9.28515625" customWidth="1"/>
    <col min="12" max="12" width="10" customWidth="1"/>
    <col min="13" max="13" width="9.28515625" customWidth="1"/>
    <col min="14" max="14" width="10" customWidth="1"/>
    <col min="15" max="15" width="9.28515625" customWidth="1"/>
    <col min="16" max="16" width="10.28515625" bestFit="1" customWidth="1"/>
    <col min="17" max="17" width="3" customWidth="1"/>
    <col min="18" max="16384" width="9.28515625" hidden="1"/>
  </cols>
  <sheetData>
    <row r="1" spans="2:16" x14ac:dyDescent="0.25"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2:16" x14ac:dyDescent="0.25"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x14ac:dyDescent="0.25"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2:16" x14ac:dyDescent="0.25"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x14ac:dyDescent="0.25"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x14ac:dyDescent="0.25"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x14ac:dyDescent="0.25"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49.5" customHeight="1" x14ac:dyDescent="0.25"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spans="2:16" ht="15" customHeight="1" x14ac:dyDescent="0.25">
      <c r="H9" t="s">
        <v>624</v>
      </c>
      <c r="L9" s="182" t="s">
        <v>0</v>
      </c>
      <c r="M9" s="182"/>
      <c r="N9" s="1"/>
      <c r="O9" s="2" t="s">
        <v>1</v>
      </c>
      <c r="P9" s="3">
        <v>43482</v>
      </c>
    </row>
    <row r="10" spans="2:16" ht="3.75" customHeight="1" x14ac:dyDescent="0.25">
      <c r="F10" s="1"/>
      <c r="G10" s="1"/>
      <c r="H10" s="1"/>
      <c r="I10" s="1"/>
      <c r="J10" s="1"/>
      <c r="K10" s="1"/>
      <c r="L10" s="1"/>
      <c r="M10" s="1"/>
      <c r="N10" s="1"/>
      <c r="O10" s="2"/>
      <c r="P10" s="3"/>
    </row>
    <row r="11" spans="2:16" ht="34.5" customHeight="1" x14ac:dyDescent="0.25">
      <c r="B11" s="4" t="s">
        <v>2</v>
      </c>
      <c r="C11" s="5"/>
      <c r="D11" s="5"/>
      <c r="E11" s="5"/>
      <c r="F11" s="183" t="s">
        <v>618</v>
      </c>
      <c r="G11" s="183"/>
      <c r="H11" s="183"/>
      <c r="I11" s="183"/>
      <c r="J11" s="183"/>
      <c r="K11" s="183"/>
      <c r="L11" s="183"/>
      <c r="M11" s="183"/>
      <c r="N11" s="183"/>
      <c r="O11" s="183"/>
      <c r="P11" s="6"/>
    </row>
    <row r="12" spans="2:16" x14ac:dyDescent="0.25">
      <c r="B12" s="7" t="s">
        <v>4</v>
      </c>
      <c r="C12" s="7" t="s">
        <v>5</v>
      </c>
      <c r="D12" s="7" t="s">
        <v>6</v>
      </c>
      <c r="E12" s="7" t="s">
        <v>7</v>
      </c>
      <c r="F12" s="8" t="s">
        <v>8</v>
      </c>
      <c r="G12" s="8"/>
      <c r="H12" s="8" t="s">
        <v>9</v>
      </c>
      <c r="I12" s="8"/>
      <c r="J12" s="8" t="s">
        <v>10</v>
      </c>
      <c r="K12" s="8"/>
      <c r="L12" s="8" t="s">
        <v>11</v>
      </c>
      <c r="M12" s="8"/>
      <c r="N12" s="8" t="s">
        <v>605</v>
      </c>
      <c r="O12" s="8"/>
      <c r="P12" s="8" t="s">
        <v>12</v>
      </c>
    </row>
    <row r="13" spans="2:16" ht="5.25" customHeight="1" x14ac:dyDescent="0.25">
      <c r="B13" s="9"/>
      <c r="C13" s="9"/>
      <c r="D13" s="9"/>
      <c r="E13" s="10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</row>
    <row r="14" spans="2:16" x14ac:dyDescent="0.25">
      <c r="B14" s="19" t="s">
        <v>557</v>
      </c>
      <c r="C14" s="20" t="s">
        <v>584</v>
      </c>
      <c r="D14" s="21" t="s">
        <v>55</v>
      </c>
      <c r="E14" s="22" t="s">
        <v>56</v>
      </c>
      <c r="F14" s="23">
        <v>43146</v>
      </c>
      <c r="G14" s="24">
        <v>1.36</v>
      </c>
      <c r="H14" s="23">
        <v>43237</v>
      </c>
      <c r="I14" s="24">
        <v>1.36</v>
      </c>
      <c r="J14" s="23">
        <v>43335</v>
      </c>
      <c r="K14" s="24">
        <v>1.36</v>
      </c>
      <c r="L14" s="23">
        <v>43425</v>
      </c>
      <c r="M14" s="77">
        <v>1.36</v>
      </c>
      <c r="N14" s="25"/>
      <c r="O14" s="24"/>
      <c r="P14" s="26">
        <f t="shared" ref="P14:P80" si="0">G14+I14+K14+M14+O14</f>
        <v>5.44</v>
      </c>
    </row>
    <row r="15" spans="2:16" x14ac:dyDescent="0.25">
      <c r="B15" s="12" t="s">
        <v>13</v>
      </c>
      <c r="C15" s="13" t="s">
        <v>14</v>
      </c>
      <c r="D15" s="14" t="s">
        <v>15</v>
      </c>
      <c r="E15" s="14" t="s">
        <v>16</v>
      </c>
      <c r="F15" s="15">
        <v>43241</v>
      </c>
      <c r="G15" s="16">
        <v>5.7799999999999997E-2</v>
      </c>
      <c r="H15" s="15"/>
      <c r="I15" s="16"/>
      <c r="J15" s="15"/>
      <c r="K15" s="16"/>
      <c r="L15" s="15"/>
      <c r="M15" s="63"/>
      <c r="N15" s="17"/>
      <c r="O15" s="16"/>
      <c r="P15" s="18">
        <f t="shared" si="0"/>
        <v>5.7799999999999997E-2</v>
      </c>
    </row>
    <row r="16" spans="2:16" x14ac:dyDescent="0.25">
      <c r="B16" s="12" t="s">
        <v>17</v>
      </c>
      <c r="C16" s="13" t="s">
        <v>18</v>
      </c>
      <c r="D16" s="14" t="s">
        <v>15</v>
      </c>
      <c r="E16" s="14" t="s">
        <v>16</v>
      </c>
      <c r="F16" s="15">
        <v>43210</v>
      </c>
      <c r="G16" s="16">
        <v>0.65</v>
      </c>
      <c r="H16" s="15"/>
      <c r="I16" s="16"/>
      <c r="J16" s="15"/>
      <c r="K16" s="16"/>
      <c r="L16" s="15"/>
      <c r="M16" s="63"/>
      <c r="N16" s="17"/>
      <c r="O16" s="16"/>
      <c r="P16" s="18">
        <f t="shared" si="0"/>
        <v>0.65</v>
      </c>
    </row>
    <row r="17" spans="2:16" x14ac:dyDescent="0.25">
      <c r="B17" s="12" t="s">
        <v>19</v>
      </c>
      <c r="C17" s="13" t="s">
        <v>20</v>
      </c>
      <c r="D17" s="14" t="s">
        <v>15</v>
      </c>
      <c r="E17" s="14" t="s">
        <v>21</v>
      </c>
      <c r="F17" s="15">
        <v>43194</v>
      </c>
      <c r="G17" s="16">
        <v>0.78</v>
      </c>
      <c r="H17" s="15"/>
      <c r="I17" s="16"/>
      <c r="J17" s="15"/>
      <c r="K17" s="16"/>
      <c r="L17" s="15"/>
      <c r="M17" s="63"/>
      <c r="N17" s="17"/>
      <c r="O17" s="16"/>
      <c r="P17" s="18">
        <f t="shared" si="0"/>
        <v>0.78</v>
      </c>
    </row>
    <row r="18" spans="2:16" x14ac:dyDescent="0.25">
      <c r="B18" s="19" t="s">
        <v>563</v>
      </c>
      <c r="C18" s="20" t="s">
        <v>590</v>
      </c>
      <c r="D18" s="21" t="s">
        <v>55</v>
      </c>
      <c r="E18" s="22" t="s">
        <v>56</v>
      </c>
      <c r="F18" s="23">
        <v>43201</v>
      </c>
      <c r="G18" s="24">
        <v>0.96</v>
      </c>
      <c r="H18" s="23">
        <v>43293</v>
      </c>
      <c r="I18" s="24">
        <v>0.96</v>
      </c>
      <c r="J18" s="23">
        <v>43385</v>
      </c>
      <c r="K18" s="24">
        <v>0.96</v>
      </c>
      <c r="L18" s="23">
        <v>43114</v>
      </c>
      <c r="M18" s="77">
        <v>1.07</v>
      </c>
      <c r="N18" s="25"/>
      <c r="O18" s="24"/>
      <c r="P18" s="26">
        <f t="shared" si="0"/>
        <v>3.95</v>
      </c>
    </row>
    <row r="19" spans="2:16" x14ac:dyDescent="0.25">
      <c r="B19" s="12" t="s">
        <v>22</v>
      </c>
      <c r="C19" s="13" t="s">
        <v>23</v>
      </c>
      <c r="D19" s="14" t="s">
        <v>24</v>
      </c>
      <c r="E19" s="14" t="s">
        <v>16</v>
      </c>
      <c r="F19" s="15">
        <v>43231</v>
      </c>
      <c r="G19" s="16">
        <v>1.05</v>
      </c>
      <c r="H19" s="15"/>
      <c r="I19" s="16"/>
      <c r="J19" s="15"/>
      <c r="K19" s="16"/>
      <c r="L19" s="15"/>
      <c r="M19" s="63"/>
      <c r="N19" s="17"/>
      <c r="O19" s="16"/>
      <c r="P19" s="18">
        <f t="shared" si="0"/>
        <v>1.05</v>
      </c>
    </row>
    <row r="20" spans="2:16" x14ac:dyDescent="0.25">
      <c r="B20" s="12" t="s">
        <v>25</v>
      </c>
      <c r="C20" s="13" t="s">
        <v>26</v>
      </c>
      <c r="D20" s="14" t="s">
        <v>27</v>
      </c>
      <c r="E20" s="14" t="s">
        <v>16</v>
      </c>
      <c r="F20" s="15">
        <v>43250</v>
      </c>
      <c r="G20" s="16">
        <v>2.2000000000000002</v>
      </c>
      <c r="H20" s="15"/>
      <c r="I20" s="16"/>
      <c r="J20" s="15"/>
      <c r="K20" s="16"/>
      <c r="L20" s="15"/>
      <c r="M20" s="63"/>
      <c r="N20" s="17"/>
      <c r="O20" s="16"/>
      <c r="P20" s="18">
        <f t="shared" si="0"/>
        <v>2.2000000000000002</v>
      </c>
    </row>
    <row r="21" spans="2:16" x14ac:dyDescent="0.25">
      <c r="B21" s="12" t="s">
        <v>28</v>
      </c>
      <c r="C21" s="13" t="s">
        <v>29</v>
      </c>
      <c r="D21" s="14" t="s">
        <v>15</v>
      </c>
      <c r="E21" s="14" t="s">
        <v>21</v>
      </c>
      <c r="F21" s="15">
        <v>43215</v>
      </c>
      <c r="G21" s="16">
        <v>2.5</v>
      </c>
      <c r="H21" s="15"/>
      <c r="I21" s="16"/>
      <c r="J21" s="15"/>
      <c r="K21" s="16"/>
      <c r="L21" s="15"/>
      <c r="M21" s="63"/>
      <c r="N21" s="17"/>
      <c r="O21" s="16"/>
      <c r="P21" s="18">
        <f t="shared" si="0"/>
        <v>2.5</v>
      </c>
    </row>
    <row r="22" spans="2:16" x14ac:dyDescent="0.25">
      <c r="B22" s="12" t="s">
        <v>30</v>
      </c>
      <c r="C22" s="13" t="s">
        <v>31</v>
      </c>
      <c r="D22" s="14" t="s">
        <v>15</v>
      </c>
      <c r="E22" s="14" t="s">
        <v>16</v>
      </c>
      <c r="F22" s="15">
        <v>43230</v>
      </c>
      <c r="G22" s="16">
        <v>2.6</v>
      </c>
      <c r="H22" s="15"/>
      <c r="I22" s="16"/>
      <c r="J22" s="15"/>
      <c r="K22" s="16"/>
      <c r="L22" s="15"/>
      <c r="M22" s="63"/>
      <c r="N22" s="17"/>
      <c r="O22" s="16"/>
      <c r="P22" s="18">
        <f t="shared" si="0"/>
        <v>2.6</v>
      </c>
    </row>
    <row r="23" spans="2:16" x14ac:dyDescent="0.25">
      <c r="B23" s="12" t="s">
        <v>32</v>
      </c>
      <c r="C23" s="13" t="s">
        <v>33</v>
      </c>
      <c r="D23" s="14" t="s">
        <v>15</v>
      </c>
      <c r="E23" s="14" t="s">
        <v>16</v>
      </c>
      <c r="F23" s="15">
        <v>43242</v>
      </c>
      <c r="G23" s="16">
        <v>0.14000000000000001</v>
      </c>
      <c r="H23" s="15">
        <v>43336</v>
      </c>
      <c r="I23" s="16">
        <v>0.14000000000000001</v>
      </c>
      <c r="J23" s="15"/>
      <c r="K23" s="16"/>
      <c r="L23" s="15"/>
      <c r="M23" s="63"/>
      <c r="N23" s="17"/>
      <c r="O23" s="16"/>
      <c r="P23" s="18">
        <f t="shared" si="0"/>
        <v>0.28000000000000003</v>
      </c>
    </row>
    <row r="24" spans="2:16" x14ac:dyDescent="0.25">
      <c r="B24" s="12" t="s">
        <v>630</v>
      </c>
      <c r="C24" s="13" t="s">
        <v>625</v>
      </c>
      <c r="D24" s="14" t="s">
        <v>15</v>
      </c>
      <c r="E24" s="14" t="s">
        <v>16</v>
      </c>
      <c r="F24" s="15">
        <v>43207</v>
      </c>
      <c r="G24" s="16">
        <v>6.5</v>
      </c>
      <c r="H24" s="15"/>
      <c r="I24" s="16"/>
      <c r="J24" s="15"/>
      <c r="K24" s="16"/>
      <c r="L24" s="15"/>
      <c r="M24" s="63"/>
      <c r="N24" s="17"/>
      <c r="O24" s="16"/>
      <c r="P24" s="18">
        <f t="shared" si="0"/>
        <v>6.5</v>
      </c>
    </row>
    <row r="25" spans="2:16" x14ac:dyDescent="0.25">
      <c r="B25" s="12" t="s">
        <v>34</v>
      </c>
      <c r="C25" s="13" t="s">
        <v>35</v>
      </c>
      <c r="D25" s="14" t="s">
        <v>27</v>
      </c>
      <c r="E25" s="14" t="s">
        <v>16</v>
      </c>
      <c r="F25" s="15">
        <v>43248</v>
      </c>
      <c r="G25" s="16">
        <v>2.1</v>
      </c>
      <c r="H25" s="15"/>
      <c r="I25" s="16"/>
      <c r="J25" s="15"/>
      <c r="K25" s="16"/>
      <c r="L25" s="15"/>
      <c r="M25" s="63"/>
      <c r="N25" s="17"/>
      <c r="O25" s="16"/>
      <c r="P25" s="18">
        <f t="shared" si="0"/>
        <v>2.1</v>
      </c>
    </row>
    <row r="26" spans="2:16" x14ac:dyDescent="0.25">
      <c r="B26" s="12" t="s">
        <v>34</v>
      </c>
      <c r="C26" s="13" t="s">
        <v>607</v>
      </c>
      <c r="D26" s="14" t="s">
        <v>27</v>
      </c>
      <c r="E26" s="14" t="s">
        <v>16</v>
      </c>
      <c r="F26" s="15">
        <v>43248</v>
      </c>
      <c r="G26" s="16">
        <v>2.1</v>
      </c>
      <c r="H26" s="15"/>
      <c r="I26" s="16"/>
      <c r="J26" s="15"/>
      <c r="K26" s="16"/>
      <c r="L26" s="15"/>
      <c r="M26" s="63"/>
      <c r="N26" s="17"/>
      <c r="O26" s="16"/>
      <c r="P26" s="18">
        <f t="shared" si="0"/>
        <v>2.1</v>
      </c>
    </row>
    <row r="27" spans="2:16" x14ac:dyDescent="0.25">
      <c r="B27" s="12" t="s">
        <v>36</v>
      </c>
      <c r="C27" s="13" t="s">
        <v>37</v>
      </c>
      <c r="D27" s="14" t="s">
        <v>15</v>
      </c>
      <c r="E27" s="14" t="s">
        <v>16</v>
      </c>
      <c r="F27" s="15">
        <v>43203</v>
      </c>
      <c r="G27" s="16">
        <v>0.63</v>
      </c>
      <c r="H27" s="15"/>
      <c r="I27" s="16"/>
      <c r="J27" s="15"/>
      <c r="K27" s="16"/>
      <c r="L27" s="15"/>
      <c r="M27" s="63"/>
      <c r="N27" s="17"/>
      <c r="O27" s="16"/>
      <c r="P27" s="18">
        <f t="shared" si="0"/>
        <v>0.63</v>
      </c>
    </row>
    <row r="28" spans="2:16" x14ac:dyDescent="0.25">
      <c r="B28" s="12" t="s">
        <v>38</v>
      </c>
      <c r="C28" s="13" t="s">
        <v>39</v>
      </c>
      <c r="D28" s="14" t="s">
        <v>27</v>
      </c>
      <c r="E28" s="14" t="s">
        <v>16</v>
      </c>
      <c r="F28" s="15">
        <v>43203</v>
      </c>
      <c r="G28" s="16">
        <v>0.63</v>
      </c>
      <c r="H28" s="15"/>
      <c r="I28" s="16"/>
      <c r="J28" s="15"/>
      <c r="K28" s="16"/>
      <c r="L28" s="15"/>
      <c r="M28" s="63"/>
      <c r="N28" s="17"/>
      <c r="O28" s="16"/>
      <c r="P28" s="18">
        <f t="shared" si="0"/>
        <v>0.63</v>
      </c>
    </row>
    <row r="29" spans="2:16" x14ac:dyDescent="0.25">
      <c r="B29" s="12" t="s">
        <v>38</v>
      </c>
      <c r="C29" s="13" t="s">
        <v>40</v>
      </c>
      <c r="D29" s="14" t="s">
        <v>27</v>
      </c>
      <c r="E29" s="14" t="s">
        <v>16</v>
      </c>
      <c r="F29" s="15">
        <v>43203</v>
      </c>
      <c r="G29" s="16">
        <v>0.63</v>
      </c>
      <c r="H29" s="15"/>
      <c r="I29" s="16"/>
      <c r="J29" s="15"/>
      <c r="K29" s="16"/>
      <c r="L29" s="15"/>
      <c r="M29" s="63"/>
      <c r="N29" s="17"/>
      <c r="O29" s="16"/>
      <c r="P29" s="18">
        <f t="shared" si="0"/>
        <v>0.63</v>
      </c>
    </row>
    <row r="30" spans="2:16" x14ac:dyDescent="0.25">
      <c r="B30" s="12" t="s">
        <v>41</v>
      </c>
      <c r="C30" s="13" t="s">
        <v>42</v>
      </c>
      <c r="D30" s="14" t="s">
        <v>24</v>
      </c>
      <c r="E30" s="14" t="s">
        <v>16</v>
      </c>
      <c r="F30" s="15">
        <v>43248</v>
      </c>
      <c r="G30" s="16">
        <v>2.65</v>
      </c>
      <c r="H30" s="15"/>
      <c r="I30" s="16"/>
      <c r="J30" s="15"/>
      <c r="K30" s="16"/>
      <c r="L30" s="15"/>
      <c r="M30" s="63"/>
      <c r="N30" s="17"/>
      <c r="O30" s="16"/>
      <c r="P30" s="18">
        <f t="shared" si="0"/>
        <v>2.65</v>
      </c>
    </row>
    <row r="31" spans="2:16" x14ac:dyDescent="0.25">
      <c r="B31" s="12" t="s">
        <v>43</v>
      </c>
      <c r="C31" s="13" t="s">
        <v>44</v>
      </c>
      <c r="D31" s="14" t="s">
        <v>24</v>
      </c>
      <c r="E31" s="14" t="s">
        <v>16</v>
      </c>
      <c r="F31" s="15">
        <v>43206</v>
      </c>
      <c r="G31" s="16">
        <v>1.5</v>
      </c>
      <c r="H31" s="15"/>
      <c r="I31" s="16"/>
      <c r="J31" s="15"/>
      <c r="K31" s="16"/>
      <c r="L31" s="15"/>
      <c r="M31" s="63"/>
      <c r="N31" s="17"/>
      <c r="O31" s="16"/>
      <c r="P31" s="18">
        <f t="shared" si="0"/>
        <v>1.5</v>
      </c>
    </row>
    <row r="32" spans="2:16" x14ac:dyDescent="0.25">
      <c r="B32" s="12" t="s">
        <v>45</v>
      </c>
      <c r="C32" s="13" t="s">
        <v>46</v>
      </c>
      <c r="D32" s="14" t="s">
        <v>15</v>
      </c>
      <c r="E32" s="14" t="s">
        <v>16</v>
      </c>
      <c r="F32" s="15">
        <v>43220</v>
      </c>
      <c r="G32" s="16">
        <v>1.94</v>
      </c>
      <c r="H32" s="15">
        <v>43392</v>
      </c>
      <c r="I32" s="16">
        <v>0.37</v>
      </c>
      <c r="J32" s="15"/>
      <c r="K32" s="16"/>
      <c r="L32" s="15"/>
      <c r="M32" s="63"/>
      <c r="N32" s="17"/>
      <c r="O32" s="16"/>
      <c r="P32" s="18">
        <f t="shared" si="0"/>
        <v>2.31</v>
      </c>
    </row>
    <row r="33" spans="2:16" x14ac:dyDescent="0.25">
      <c r="B33" s="12" t="s">
        <v>617</v>
      </c>
      <c r="C33" s="13" t="s">
        <v>616</v>
      </c>
      <c r="D33" s="14" t="s">
        <v>15</v>
      </c>
      <c r="E33" s="14" t="s">
        <v>16</v>
      </c>
      <c r="F33" s="15">
        <v>43220</v>
      </c>
      <c r="G33" s="16">
        <v>1.94</v>
      </c>
      <c r="H33" s="15">
        <v>43392</v>
      </c>
      <c r="I33" s="16">
        <v>0.37</v>
      </c>
      <c r="J33" s="15"/>
      <c r="K33" s="16"/>
      <c r="L33" s="15"/>
      <c r="M33" s="63"/>
      <c r="N33" s="17"/>
      <c r="O33" s="16"/>
      <c r="P33" s="18">
        <f t="shared" ref="P33" si="1">G33+I33+K33+M33+O33</f>
        <v>2.31</v>
      </c>
    </row>
    <row r="34" spans="2:16" x14ac:dyDescent="0.25">
      <c r="B34" s="12" t="s">
        <v>47</v>
      </c>
      <c r="C34" s="13" t="s">
        <v>48</v>
      </c>
      <c r="D34" s="14" t="s">
        <v>15</v>
      </c>
      <c r="E34" s="14" t="s">
        <v>16</v>
      </c>
      <c r="F34" s="15">
        <v>43230</v>
      </c>
      <c r="G34" s="16">
        <v>8</v>
      </c>
      <c r="H34" s="15"/>
      <c r="I34" s="16"/>
      <c r="J34" s="15"/>
      <c r="K34" s="16"/>
      <c r="L34" s="15"/>
      <c r="M34" s="63"/>
      <c r="N34" s="17"/>
      <c r="O34" s="16"/>
      <c r="P34" s="18">
        <f t="shared" si="0"/>
        <v>8</v>
      </c>
    </row>
    <row r="35" spans="2:16" x14ac:dyDescent="0.25">
      <c r="B35" s="12" t="s">
        <v>49</v>
      </c>
      <c r="C35" s="13" t="s">
        <v>50</v>
      </c>
      <c r="D35" s="14" t="s">
        <v>24</v>
      </c>
      <c r="E35" s="14" t="s">
        <v>16</v>
      </c>
      <c r="F35" s="15">
        <v>43301</v>
      </c>
      <c r="G35" s="16">
        <v>0.35</v>
      </c>
      <c r="H35" s="15"/>
      <c r="I35" s="16"/>
      <c r="J35" s="15"/>
      <c r="K35" s="16"/>
      <c r="L35" s="15"/>
      <c r="M35" s="63"/>
      <c r="N35" s="17"/>
      <c r="O35" s="16"/>
      <c r="P35" s="18">
        <f t="shared" si="0"/>
        <v>0.35</v>
      </c>
    </row>
    <row r="36" spans="2:16" x14ac:dyDescent="0.25">
      <c r="B36" s="19" t="s">
        <v>554</v>
      </c>
      <c r="C36" s="20" t="s">
        <v>581</v>
      </c>
      <c r="D36" s="21" t="s">
        <v>55</v>
      </c>
      <c r="E36" s="22" t="s">
        <v>56</v>
      </c>
      <c r="F36" s="23">
        <v>43173</v>
      </c>
      <c r="G36" s="24">
        <v>0.7</v>
      </c>
      <c r="H36" s="23">
        <v>43265</v>
      </c>
      <c r="I36" s="24">
        <v>0.7</v>
      </c>
      <c r="J36" s="23">
        <v>43356</v>
      </c>
      <c r="K36" s="24">
        <v>0.8</v>
      </c>
      <c r="L36" s="23">
        <v>43458</v>
      </c>
      <c r="M36" s="77">
        <v>0.8</v>
      </c>
      <c r="N36" s="25"/>
      <c r="O36" s="24"/>
      <c r="P36" s="26">
        <f t="shared" si="0"/>
        <v>3</v>
      </c>
    </row>
    <row r="37" spans="2:16" x14ac:dyDescent="0.25">
      <c r="B37" s="12" t="s">
        <v>51</v>
      </c>
      <c r="C37" s="13" t="s">
        <v>52</v>
      </c>
      <c r="D37" s="14" t="s">
        <v>15</v>
      </c>
      <c r="E37" s="14" t="s">
        <v>16</v>
      </c>
      <c r="F37" s="15">
        <v>43129</v>
      </c>
      <c r="G37" s="16">
        <v>0.48</v>
      </c>
      <c r="H37" s="15">
        <v>43278</v>
      </c>
      <c r="I37" s="16">
        <v>0.65500000000000003</v>
      </c>
      <c r="J37" s="15"/>
      <c r="K37" s="16"/>
      <c r="L37" s="15"/>
      <c r="M37" s="63"/>
      <c r="N37" s="17"/>
      <c r="O37" s="16"/>
      <c r="P37" s="18">
        <f t="shared" si="0"/>
        <v>1.135</v>
      </c>
    </row>
    <row r="38" spans="2:16" x14ac:dyDescent="0.25">
      <c r="B38" s="19" t="s">
        <v>53</v>
      </c>
      <c r="C38" s="20" t="s">
        <v>54</v>
      </c>
      <c r="D38" s="21" t="s">
        <v>55</v>
      </c>
      <c r="E38" s="22" t="s">
        <v>56</v>
      </c>
      <c r="F38" s="23"/>
      <c r="G38" s="24"/>
      <c r="H38" s="23"/>
      <c r="I38" s="24"/>
      <c r="J38" s="23"/>
      <c r="K38" s="24"/>
      <c r="L38" s="23"/>
      <c r="M38" s="77"/>
      <c r="N38" s="25"/>
      <c r="O38" s="24"/>
      <c r="P38" s="26">
        <f t="shared" si="0"/>
        <v>0</v>
      </c>
    </row>
    <row r="39" spans="2:16" x14ac:dyDescent="0.25">
      <c r="B39" s="19" t="s">
        <v>556</v>
      </c>
      <c r="C39" s="20" t="s">
        <v>583</v>
      </c>
      <c r="D39" s="21" t="s">
        <v>55</v>
      </c>
      <c r="E39" s="22" t="s">
        <v>56</v>
      </c>
      <c r="F39" s="23">
        <v>43145</v>
      </c>
      <c r="G39" s="24">
        <v>1.32</v>
      </c>
      <c r="H39" s="23">
        <v>43236</v>
      </c>
      <c r="I39" s="24">
        <v>1.32</v>
      </c>
      <c r="J39" s="23">
        <v>43328</v>
      </c>
      <c r="K39" s="24">
        <v>1.32</v>
      </c>
      <c r="L39" s="23">
        <v>43419</v>
      </c>
      <c r="M39" s="77">
        <v>1.32</v>
      </c>
      <c r="N39" s="25"/>
      <c r="O39" s="24"/>
      <c r="P39" s="26">
        <f t="shared" si="0"/>
        <v>5.28</v>
      </c>
    </row>
    <row r="40" spans="2:16" x14ac:dyDescent="0.25">
      <c r="B40" s="12" t="s">
        <v>57</v>
      </c>
      <c r="C40" s="13" t="s">
        <v>58</v>
      </c>
      <c r="D40" s="14" t="s">
        <v>15</v>
      </c>
      <c r="E40" s="14" t="s">
        <v>56</v>
      </c>
      <c r="F40" s="15">
        <v>43174</v>
      </c>
      <c r="G40" s="16">
        <v>0.54</v>
      </c>
      <c r="H40" s="15">
        <v>43328</v>
      </c>
      <c r="I40" s="16">
        <v>0.49</v>
      </c>
      <c r="J40" s="15"/>
      <c r="K40" s="16"/>
      <c r="L40" s="15"/>
      <c r="M40" s="63"/>
      <c r="N40" s="17"/>
      <c r="O40" s="16"/>
      <c r="P40" s="18">
        <f t="shared" si="0"/>
        <v>1.03</v>
      </c>
    </row>
    <row r="41" spans="2:16" x14ac:dyDescent="0.25">
      <c r="B41" s="12" t="s">
        <v>59</v>
      </c>
      <c r="C41" s="13" t="s">
        <v>60</v>
      </c>
      <c r="D41" s="14" t="s">
        <v>27</v>
      </c>
      <c r="E41" s="14" t="s">
        <v>16</v>
      </c>
      <c r="F41" s="15">
        <v>43220</v>
      </c>
      <c r="G41" s="16">
        <v>2</v>
      </c>
      <c r="H41" s="15">
        <v>43431</v>
      </c>
      <c r="I41" s="16">
        <v>0.8</v>
      </c>
      <c r="J41" s="15"/>
      <c r="K41" s="16"/>
      <c r="L41" s="15"/>
      <c r="M41" s="63"/>
      <c r="N41" s="17"/>
      <c r="O41" s="16"/>
      <c r="P41" s="18">
        <f t="shared" si="0"/>
        <v>2.8</v>
      </c>
    </row>
    <row r="42" spans="2:16" x14ac:dyDescent="0.25">
      <c r="B42" s="19" t="s">
        <v>61</v>
      </c>
      <c r="C42" s="20" t="s">
        <v>62</v>
      </c>
      <c r="D42" s="21" t="s">
        <v>55</v>
      </c>
      <c r="E42" s="22" t="s">
        <v>56</v>
      </c>
      <c r="F42" s="23">
        <v>43140</v>
      </c>
      <c r="G42" s="24">
        <v>0.63</v>
      </c>
      <c r="H42" s="23">
        <v>43231</v>
      </c>
      <c r="I42" s="24">
        <v>0.73</v>
      </c>
      <c r="J42" s="23">
        <v>43322</v>
      </c>
      <c r="K42" s="24">
        <v>0.73</v>
      </c>
      <c r="L42" s="23">
        <v>43412</v>
      </c>
      <c r="M42" s="24">
        <v>0.73</v>
      </c>
      <c r="N42" s="25"/>
      <c r="O42" s="24"/>
      <c r="P42" s="26">
        <f t="shared" si="0"/>
        <v>2.82</v>
      </c>
    </row>
    <row r="43" spans="2:16" x14ac:dyDescent="0.25">
      <c r="B43" s="12" t="s">
        <v>63</v>
      </c>
      <c r="C43" s="13" t="s">
        <v>64</v>
      </c>
      <c r="D43" s="14" t="s">
        <v>15</v>
      </c>
      <c r="E43" s="14" t="s">
        <v>16</v>
      </c>
      <c r="F43" s="15">
        <v>43237</v>
      </c>
      <c r="G43" s="27">
        <v>8.48E-2</v>
      </c>
      <c r="H43" s="15"/>
      <c r="I43" s="16"/>
      <c r="J43" s="15"/>
      <c r="K43" s="16"/>
      <c r="L43" s="15"/>
      <c r="M43" s="63"/>
      <c r="N43" s="17"/>
      <c r="O43" s="16"/>
      <c r="P43" s="18">
        <f t="shared" si="0"/>
        <v>8.48E-2</v>
      </c>
    </row>
    <row r="44" spans="2:16" x14ac:dyDescent="0.25">
      <c r="B44" s="12" t="s">
        <v>65</v>
      </c>
      <c r="C44" s="13" t="s">
        <v>66</v>
      </c>
      <c r="D44" s="14" t="s">
        <v>15</v>
      </c>
      <c r="E44" s="14" t="s">
        <v>16</v>
      </c>
      <c r="F44" s="15">
        <v>43217</v>
      </c>
      <c r="G44" s="16">
        <v>1.4</v>
      </c>
      <c r="H44" s="15"/>
      <c r="I44" s="16"/>
      <c r="J44" s="15"/>
      <c r="K44" s="16"/>
      <c r="L44" s="15"/>
      <c r="M44" s="63"/>
      <c r="N44" s="17"/>
      <c r="O44" s="16"/>
      <c r="P44" s="18">
        <f t="shared" si="0"/>
        <v>1.4</v>
      </c>
    </row>
    <row r="45" spans="2:16" x14ac:dyDescent="0.25">
      <c r="B45" s="12" t="s">
        <v>67</v>
      </c>
      <c r="C45" s="13" t="s">
        <v>68</v>
      </c>
      <c r="D45" s="14" t="s">
        <v>15</v>
      </c>
      <c r="E45" s="14" t="s">
        <v>16</v>
      </c>
      <c r="F45" s="15">
        <v>43241</v>
      </c>
      <c r="G45" s="16">
        <v>0.85</v>
      </c>
      <c r="H45" s="15"/>
      <c r="I45" s="16"/>
      <c r="J45" s="15"/>
      <c r="K45" s="16"/>
      <c r="L45" s="15"/>
      <c r="M45" s="63"/>
      <c r="N45" s="17"/>
      <c r="O45" s="16"/>
      <c r="P45" s="18">
        <f t="shared" si="0"/>
        <v>0.85</v>
      </c>
    </row>
    <row r="46" spans="2:16" x14ac:dyDescent="0.25">
      <c r="B46" s="12" t="s">
        <v>69</v>
      </c>
      <c r="C46" s="13" t="s">
        <v>70</v>
      </c>
      <c r="D46" s="14" t="s">
        <v>15</v>
      </c>
      <c r="E46" s="14" t="s">
        <v>56</v>
      </c>
      <c r="F46" s="15">
        <v>43146</v>
      </c>
      <c r="G46" s="28">
        <v>1.9</v>
      </c>
      <c r="H46" s="15">
        <v>43321</v>
      </c>
      <c r="I46" s="16">
        <v>0.9</v>
      </c>
      <c r="J46" s="15"/>
      <c r="K46" s="16"/>
      <c r="L46" s="15"/>
      <c r="M46" s="63"/>
      <c r="N46" s="17"/>
      <c r="O46" s="16"/>
      <c r="P46" s="18">
        <f t="shared" si="0"/>
        <v>2.8</v>
      </c>
    </row>
    <row r="47" spans="2:16" x14ac:dyDescent="0.25">
      <c r="B47" s="19" t="s">
        <v>71</v>
      </c>
      <c r="C47" s="20" t="s">
        <v>72</v>
      </c>
      <c r="D47" s="21" t="s">
        <v>55</v>
      </c>
      <c r="E47" s="22" t="s">
        <v>56</v>
      </c>
      <c r="F47" s="23">
        <v>43199</v>
      </c>
      <c r="G47" s="24">
        <v>0.5</v>
      </c>
      <c r="H47" s="23">
        <v>43290</v>
      </c>
      <c r="I47" s="24">
        <v>0.5</v>
      </c>
      <c r="J47" s="23">
        <v>43382</v>
      </c>
      <c r="K47" s="24">
        <v>0.5</v>
      </c>
      <c r="L47" s="23">
        <v>43474</v>
      </c>
      <c r="M47" s="77">
        <v>0.51</v>
      </c>
      <c r="N47" s="25"/>
      <c r="O47" s="24"/>
      <c r="P47" s="26">
        <f t="shared" si="0"/>
        <v>2.0099999999999998</v>
      </c>
    </row>
    <row r="48" spans="2:16" x14ac:dyDescent="0.25">
      <c r="B48" s="12" t="s">
        <v>73</v>
      </c>
      <c r="C48" s="13" t="s">
        <v>74</v>
      </c>
      <c r="D48" s="14" t="s">
        <v>15</v>
      </c>
      <c r="E48" s="14" t="s">
        <v>16</v>
      </c>
      <c r="F48" s="15">
        <v>43241</v>
      </c>
      <c r="G48" s="16">
        <v>0.65</v>
      </c>
      <c r="H48" s="15"/>
      <c r="I48" s="16"/>
      <c r="J48" s="15"/>
      <c r="K48" s="16"/>
      <c r="L48" s="15"/>
      <c r="M48" s="63"/>
      <c r="N48" s="17"/>
      <c r="O48" s="16"/>
      <c r="P48" s="18">
        <f t="shared" si="0"/>
        <v>0.65</v>
      </c>
    </row>
    <row r="49" spans="2:16" x14ac:dyDescent="0.25">
      <c r="B49" s="12" t="s">
        <v>75</v>
      </c>
      <c r="C49" s="13" t="s">
        <v>76</v>
      </c>
      <c r="D49" s="14" t="s">
        <v>15</v>
      </c>
      <c r="E49" s="14" t="s">
        <v>77</v>
      </c>
      <c r="F49" s="15">
        <v>43195</v>
      </c>
      <c r="G49" s="16">
        <v>19</v>
      </c>
      <c r="H49" s="15">
        <v>43328</v>
      </c>
      <c r="I49" s="16">
        <v>9.25</v>
      </c>
      <c r="J49" s="15"/>
      <c r="K49" s="16"/>
      <c r="L49" s="15"/>
      <c r="M49" s="63"/>
      <c r="N49" s="17"/>
      <c r="O49" s="16"/>
      <c r="P49" s="18">
        <f t="shared" si="0"/>
        <v>28.25</v>
      </c>
    </row>
    <row r="50" spans="2:16" x14ac:dyDescent="0.25">
      <c r="B50" s="12" t="s">
        <v>78</v>
      </c>
      <c r="C50" s="13" t="s">
        <v>79</v>
      </c>
      <c r="D50" s="14" t="s">
        <v>24</v>
      </c>
      <c r="E50" s="14" t="s">
        <v>16</v>
      </c>
      <c r="F50" s="15">
        <v>43223</v>
      </c>
      <c r="G50" s="16">
        <v>1.26</v>
      </c>
      <c r="H50" s="15"/>
      <c r="I50" s="16"/>
      <c r="J50" s="15"/>
      <c r="K50" s="16"/>
      <c r="L50" s="15"/>
      <c r="M50" s="63"/>
      <c r="N50" s="17"/>
      <c r="O50" s="16"/>
      <c r="P50" s="18">
        <f t="shared" si="0"/>
        <v>1.26</v>
      </c>
    </row>
    <row r="51" spans="2:16" x14ac:dyDescent="0.25">
      <c r="B51" s="12" t="s">
        <v>80</v>
      </c>
      <c r="C51" s="13" t="s">
        <v>81</v>
      </c>
      <c r="D51" s="14" t="s">
        <v>15</v>
      </c>
      <c r="E51" s="14" t="s">
        <v>16</v>
      </c>
      <c r="F51" s="15">
        <v>43241</v>
      </c>
      <c r="G51" s="16">
        <v>1</v>
      </c>
      <c r="H51" s="15"/>
      <c r="I51" s="16"/>
      <c r="J51" s="15"/>
      <c r="K51" s="16"/>
      <c r="L51" s="15"/>
      <c r="M51" s="63"/>
      <c r="N51" s="17"/>
      <c r="O51" s="16"/>
      <c r="P51" s="18">
        <f t="shared" si="0"/>
        <v>1</v>
      </c>
    </row>
    <row r="52" spans="2:16" x14ac:dyDescent="0.25">
      <c r="B52" s="12" t="s">
        <v>82</v>
      </c>
      <c r="C52" s="13" t="s">
        <v>83</v>
      </c>
      <c r="D52" s="14" t="s">
        <v>15</v>
      </c>
      <c r="E52" s="14" t="s">
        <v>77</v>
      </c>
      <c r="F52" s="15">
        <v>43209</v>
      </c>
      <c r="G52" s="16">
        <v>13</v>
      </c>
      <c r="H52" s="15">
        <v>43391</v>
      </c>
      <c r="I52" s="16">
        <v>9</v>
      </c>
      <c r="J52" s="15"/>
      <c r="K52" s="16"/>
      <c r="L52" s="15"/>
      <c r="M52" s="63"/>
      <c r="N52" s="17"/>
      <c r="O52" s="16"/>
      <c r="P52" s="18">
        <f t="shared" si="0"/>
        <v>22</v>
      </c>
    </row>
    <row r="53" spans="2:16" x14ac:dyDescent="0.25">
      <c r="B53" s="12" t="s">
        <v>84</v>
      </c>
      <c r="C53" s="13" t="s">
        <v>85</v>
      </c>
      <c r="D53" s="14" t="s">
        <v>15</v>
      </c>
      <c r="E53" s="14" t="s">
        <v>16</v>
      </c>
      <c r="F53" s="15">
        <v>43213</v>
      </c>
      <c r="G53" s="16">
        <v>0.2</v>
      </c>
      <c r="H53" s="15">
        <v>43423</v>
      </c>
      <c r="I53" s="16">
        <v>0.2</v>
      </c>
      <c r="J53" s="15"/>
      <c r="K53" s="16"/>
      <c r="L53" s="15"/>
      <c r="M53" s="63"/>
      <c r="N53" s="17"/>
      <c r="O53" s="16"/>
      <c r="P53" s="18">
        <f t="shared" si="0"/>
        <v>0.4</v>
      </c>
    </row>
    <row r="54" spans="2:16" x14ac:dyDescent="0.25">
      <c r="B54" s="12" t="s">
        <v>86</v>
      </c>
      <c r="C54" s="13" t="s">
        <v>87</v>
      </c>
      <c r="D54" s="14" t="s">
        <v>15</v>
      </c>
      <c r="E54" s="14" t="s">
        <v>16</v>
      </c>
      <c r="F54" s="15">
        <v>43196</v>
      </c>
      <c r="G54" s="16">
        <v>0.15</v>
      </c>
      <c r="H54" s="15">
        <v>43381</v>
      </c>
      <c r="I54" s="16">
        <v>0.1</v>
      </c>
      <c r="J54" s="15"/>
      <c r="K54" s="16"/>
      <c r="L54" s="15"/>
      <c r="M54" s="63"/>
      <c r="N54" s="17"/>
      <c r="O54" s="16"/>
      <c r="P54" s="18">
        <f t="shared" si="0"/>
        <v>0.25</v>
      </c>
    </row>
    <row r="55" spans="2:16" x14ac:dyDescent="0.25">
      <c r="B55" s="12" t="s">
        <v>88</v>
      </c>
      <c r="C55" s="13" t="s">
        <v>89</v>
      </c>
      <c r="D55" s="14" t="s">
        <v>15</v>
      </c>
      <c r="E55" s="14" t="s">
        <v>16</v>
      </c>
      <c r="F55" s="15"/>
      <c r="G55" s="16"/>
      <c r="H55" s="15"/>
      <c r="I55" s="16"/>
      <c r="J55" s="15"/>
      <c r="K55" s="16"/>
      <c r="L55" s="15"/>
      <c r="M55" s="63"/>
      <c r="N55" s="17"/>
      <c r="O55" s="16"/>
      <c r="P55" s="18">
        <f t="shared" si="0"/>
        <v>0</v>
      </c>
    </row>
    <row r="56" spans="2:16" x14ac:dyDescent="0.25">
      <c r="B56" s="12" t="s">
        <v>90</v>
      </c>
      <c r="C56" s="13" t="s">
        <v>91</v>
      </c>
      <c r="D56" s="14" t="s">
        <v>15</v>
      </c>
      <c r="E56" s="14" t="s">
        <v>16</v>
      </c>
      <c r="F56" s="15">
        <v>43130</v>
      </c>
      <c r="G56" s="16">
        <v>0.06</v>
      </c>
      <c r="H56" s="15">
        <v>43217</v>
      </c>
      <c r="I56" s="16">
        <v>0.06</v>
      </c>
      <c r="J56" s="15">
        <v>43311</v>
      </c>
      <c r="K56" s="16">
        <v>6.5000000000000002E-2</v>
      </c>
      <c r="L56" s="15">
        <v>43391</v>
      </c>
      <c r="M56" s="16">
        <v>3.5000000000000003E-2</v>
      </c>
      <c r="N56" s="17"/>
      <c r="O56" s="16"/>
      <c r="P56" s="18">
        <f t="shared" si="0"/>
        <v>0.22</v>
      </c>
    </row>
    <row r="57" spans="2:16" x14ac:dyDescent="0.25">
      <c r="B57" s="12" t="s">
        <v>90</v>
      </c>
      <c r="C57" s="13" t="s">
        <v>609</v>
      </c>
      <c r="D57" s="14" t="s">
        <v>15</v>
      </c>
      <c r="E57" s="14" t="s">
        <v>16</v>
      </c>
      <c r="F57" s="15">
        <v>43130</v>
      </c>
      <c r="G57" s="16">
        <v>0.06</v>
      </c>
      <c r="H57" s="15">
        <v>43217</v>
      </c>
      <c r="I57" s="16">
        <v>0.06</v>
      </c>
      <c r="J57" s="15">
        <v>43311</v>
      </c>
      <c r="K57" s="16">
        <v>6.5000000000000002E-2</v>
      </c>
      <c r="L57" s="15">
        <v>43391</v>
      </c>
      <c r="M57" s="16">
        <v>3.5000000000000003E-2</v>
      </c>
      <c r="N57" s="17"/>
      <c r="O57" s="16"/>
      <c r="P57" s="18">
        <f t="shared" ref="P57" si="2">G57+I57+K57+M57+O57</f>
        <v>0.22</v>
      </c>
    </row>
    <row r="58" spans="2:16" x14ac:dyDescent="0.25">
      <c r="B58" s="19" t="s">
        <v>112</v>
      </c>
      <c r="C58" s="20" t="s">
        <v>113</v>
      </c>
      <c r="D58" s="21" t="s">
        <v>55</v>
      </c>
      <c r="E58" s="22" t="s">
        <v>56</v>
      </c>
      <c r="F58" s="23">
        <v>43160</v>
      </c>
      <c r="G58" s="24">
        <v>0.12</v>
      </c>
      <c r="H58" s="23">
        <v>43251</v>
      </c>
      <c r="I58" s="24">
        <v>0.12</v>
      </c>
      <c r="J58" s="23">
        <v>43349</v>
      </c>
      <c r="K58" s="24">
        <v>0.15</v>
      </c>
      <c r="L58" s="23">
        <v>43440</v>
      </c>
      <c r="M58" s="77">
        <v>0.15</v>
      </c>
      <c r="N58" s="25"/>
      <c r="O58" s="24"/>
      <c r="P58" s="26">
        <f t="shared" si="0"/>
        <v>0.54</v>
      </c>
    </row>
    <row r="59" spans="2:16" x14ac:dyDescent="0.25">
      <c r="B59" s="12" t="s">
        <v>92</v>
      </c>
      <c r="C59" s="13" t="s">
        <v>93</v>
      </c>
      <c r="D59" s="14" t="s">
        <v>15</v>
      </c>
      <c r="E59" s="14" t="s">
        <v>16</v>
      </c>
      <c r="F59" s="15">
        <v>43208</v>
      </c>
      <c r="G59" s="16">
        <v>0.11024</v>
      </c>
      <c r="H59" s="15"/>
      <c r="I59" s="16"/>
      <c r="J59" s="15"/>
      <c r="K59" s="16"/>
      <c r="L59" s="15"/>
      <c r="M59" s="63"/>
      <c r="N59" s="17"/>
      <c r="O59" s="16"/>
      <c r="P59" s="18">
        <f t="shared" si="0"/>
        <v>0.11024</v>
      </c>
    </row>
    <row r="60" spans="2:16" x14ac:dyDescent="0.25">
      <c r="B60" s="12" t="s">
        <v>94</v>
      </c>
      <c r="C60" s="13" t="s">
        <v>95</v>
      </c>
      <c r="D60" s="14" t="s">
        <v>15</v>
      </c>
      <c r="E60" s="14" t="s">
        <v>16</v>
      </c>
      <c r="F60" s="15">
        <v>43096</v>
      </c>
      <c r="G60" s="16">
        <v>6.1716E-2</v>
      </c>
      <c r="H60" s="15">
        <v>43186</v>
      </c>
      <c r="I60" s="16">
        <v>9.3940999999999997E-2</v>
      </c>
      <c r="J60" s="15">
        <v>43276</v>
      </c>
      <c r="K60" s="16">
        <v>6.5064999999999998E-2</v>
      </c>
      <c r="L60" s="15">
        <v>43367</v>
      </c>
      <c r="M60" s="63">
        <v>6.3719999999999999E-2</v>
      </c>
      <c r="N60" s="17"/>
      <c r="O60" s="16"/>
      <c r="P60" s="18">
        <f t="shared" si="0"/>
        <v>0.28444199999999997</v>
      </c>
    </row>
    <row r="61" spans="2:16" x14ac:dyDescent="0.25">
      <c r="B61" s="12" t="s">
        <v>96</v>
      </c>
      <c r="C61" s="13" t="s">
        <v>97</v>
      </c>
      <c r="D61" s="14" t="s">
        <v>15</v>
      </c>
      <c r="E61" s="14" t="s">
        <v>77</v>
      </c>
      <c r="F61" s="15">
        <v>43160</v>
      </c>
      <c r="G61" s="16">
        <v>2</v>
      </c>
      <c r="H61" s="15">
        <v>43321</v>
      </c>
      <c r="I61" s="16">
        <v>2.5</v>
      </c>
      <c r="J61" s="15"/>
      <c r="K61" s="16"/>
      <c r="L61" s="15"/>
      <c r="M61" s="63"/>
      <c r="N61" s="17"/>
      <c r="O61" s="16"/>
      <c r="P61" s="18">
        <f t="shared" si="0"/>
        <v>4.5</v>
      </c>
    </row>
    <row r="62" spans="2:16" x14ac:dyDescent="0.25">
      <c r="B62" s="12" t="s">
        <v>98</v>
      </c>
      <c r="C62" s="13" t="s">
        <v>99</v>
      </c>
      <c r="D62" s="14" t="s">
        <v>15</v>
      </c>
      <c r="E62" s="14" t="s">
        <v>16</v>
      </c>
      <c r="F62" s="15">
        <v>43227</v>
      </c>
      <c r="G62" s="16">
        <v>3.1</v>
      </c>
      <c r="H62" s="15"/>
      <c r="I62" s="16"/>
      <c r="J62" s="15"/>
      <c r="K62" s="16"/>
      <c r="L62" s="15"/>
      <c r="M62" s="63"/>
      <c r="N62" s="17"/>
      <c r="O62" s="16"/>
      <c r="P62" s="18">
        <f t="shared" si="0"/>
        <v>3.1</v>
      </c>
    </row>
    <row r="63" spans="2:16" x14ac:dyDescent="0.25">
      <c r="B63" s="12" t="s">
        <v>100</v>
      </c>
      <c r="C63" s="13" t="s">
        <v>101</v>
      </c>
      <c r="D63" s="14" t="s">
        <v>15</v>
      </c>
      <c r="E63" s="14" t="s">
        <v>16</v>
      </c>
      <c r="F63" s="29">
        <v>43248</v>
      </c>
      <c r="G63" s="71">
        <f>2.8*0.98409496</f>
        <v>2.7554658879999998</v>
      </c>
      <c r="H63" s="15"/>
      <c r="I63" s="16"/>
      <c r="J63" s="15"/>
      <c r="K63" s="16"/>
      <c r="L63" s="15"/>
      <c r="M63" s="63"/>
      <c r="N63" s="17"/>
      <c r="O63" s="16"/>
      <c r="P63" s="18">
        <f t="shared" si="0"/>
        <v>2.7554658879999998</v>
      </c>
    </row>
    <row r="64" spans="2:16" x14ac:dyDescent="0.25">
      <c r="B64" s="12" t="s">
        <v>102</v>
      </c>
      <c r="C64" s="13" t="s">
        <v>103</v>
      </c>
      <c r="D64" s="14" t="s">
        <v>27</v>
      </c>
      <c r="E64" s="14" t="s">
        <v>16</v>
      </c>
      <c r="F64" s="15">
        <v>43088</v>
      </c>
      <c r="G64" s="16">
        <v>2.59</v>
      </c>
      <c r="H64" s="15">
        <v>43222</v>
      </c>
      <c r="I64" s="16">
        <v>0.86</v>
      </c>
      <c r="J64" s="15">
        <v>43452</v>
      </c>
      <c r="K64" s="16">
        <v>2.59</v>
      </c>
      <c r="L64" s="15"/>
      <c r="M64" s="63"/>
      <c r="N64" s="17"/>
      <c r="O64" s="16"/>
      <c r="P64" s="18">
        <f t="shared" si="0"/>
        <v>6.0399999999999991</v>
      </c>
    </row>
    <row r="65" spans="2:16" x14ac:dyDescent="0.25">
      <c r="B65" s="12" t="s">
        <v>104</v>
      </c>
      <c r="C65" s="13" t="s">
        <v>105</v>
      </c>
      <c r="D65" s="14" t="s">
        <v>27</v>
      </c>
      <c r="E65" s="14" t="s">
        <v>16</v>
      </c>
      <c r="F65" s="15">
        <v>43231</v>
      </c>
      <c r="G65" s="16">
        <v>1.1000000000000001</v>
      </c>
      <c r="H65" s="15"/>
      <c r="I65" s="16"/>
      <c r="J65" s="15"/>
      <c r="K65" s="16"/>
      <c r="L65" s="15"/>
      <c r="M65" s="63"/>
      <c r="N65" s="17"/>
      <c r="O65" s="16"/>
      <c r="P65" s="18">
        <f t="shared" si="0"/>
        <v>1.1000000000000001</v>
      </c>
    </row>
    <row r="66" spans="2:16" x14ac:dyDescent="0.25">
      <c r="B66" s="12" t="s">
        <v>638</v>
      </c>
      <c r="C66" s="13" t="s">
        <v>107</v>
      </c>
      <c r="D66" s="14" t="s">
        <v>15</v>
      </c>
      <c r="E66" s="14" t="s">
        <v>56</v>
      </c>
      <c r="F66" s="15">
        <v>43167</v>
      </c>
      <c r="G66" s="16">
        <v>0.55000000000000004</v>
      </c>
      <c r="H66" s="15">
        <v>43349</v>
      </c>
      <c r="I66" s="16">
        <v>0.63</v>
      </c>
      <c r="J66" s="15"/>
      <c r="K66" s="16"/>
      <c r="L66" s="15"/>
      <c r="M66" s="63"/>
      <c r="N66" s="17"/>
      <c r="O66" s="16"/>
      <c r="P66" s="18">
        <f t="shared" si="0"/>
        <v>1.1800000000000002</v>
      </c>
    </row>
    <row r="67" spans="2:16" x14ac:dyDescent="0.25">
      <c r="B67" s="12" t="s">
        <v>108</v>
      </c>
      <c r="C67" s="13" t="s">
        <v>109</v>
      </c>
      <c r="D67" s="14" t="s">
        <v>15</v>
      </c>
      <c r="E67" s="14" t="s">
        <v>16</v>
      </c>
      <c r="F67" s="15">
        <v>43238</v>
      </c>
      <c r="G67" s="16">
        <v>4</v>
      </c>
      <c r="H67" s="15"/>
      <c r="I67" s="16"/>
      <c r="J67" s="15"/>
      <c r="K67" s="16"/>
      <c r="L67" s="15"/>
      <c r="M67" s="63"/>
      <c r="N67" s="17"/>
      <c r="O67" s="16"/>
      <c r="P67" s="18">
        <f t="shared" si="0"/>
        <v>4</v>
      </c>
    </row>
    <row r="68" spans="2:16" x14ac:dyDescent="0.25">
      <c r="B68" s="12" t="s">
        <v>110</v>
      </c>
      <c r="C68" s="13" t="s">
        <v>111</v>
      </c>
      <c r="D68" s="14" t="s">
        <v>24</v>
      </c>
      <c r="E68" s="14" t="s">
        <v>16</v>
      </c>
      <c r="F68" s="15">
        <v>43250</v>
      </c>
      <c r="G68" s="16">
        <v>3.02</v>
      </c>
      <c r="H68" s="15"/>
      <c r="I68" s="16"/>
      <c r="J68" s="15"/>
      <c r="K68" s="16"/>
      <c r="L68" s="15"/>
      <c r="M68" s="63"/>
      <c r="N68" s="17"/>
      <c r="O68" s="16"/>
      <c r="P68" s="18">
        <f t="shared" si="0"/>
        <v>3.02</v>
      </c>
    </row>
    <row r="69" spans="2:16" x14ac:dyDescent="0.25">
      <c r="B69" s="19" t="s">
        <v>564</v>
      </c>
      <c r="C69" s="20" t="s">
        <v>591</v>
      </c>
      <c r="D69" s="21" t="s">
        <v>55</v>
      </c>
      <c r="E69" s="22" t="s">
        <v>56</v>
      </c>
      <c r="F69" s="23">
        <v>43139</v>
      </c>
      <c r="G69" s="24">
        <v>1.71</v>
      </c>
      <c r="H69" s="23">
        <v>43230</v>
      </c>
      <c r="I69" s="24">
        <v>1.71</v>
      </c>
      <c r="J69" s="23">
        <v>43321</v>
      </c>
      <c r="K69" s="24">
        <v>1.71</v>
      </c>
      <c r="L69" s="23">
        <v>43412</v>
      </c>
      <c r="M69" s="24">
        <v>1.71</v>
      </c>
      <c r="N69" s="25"/>
      <c r="O69" s="24"/>
      <c r="P69" s="26">
        <f t="shared" si="0"/>
        <v>6.84</v>
      </c>
    </row>
    <row r="70" spans="2:16" x14ac:dyDescent="0.25">
      <c r="B70" s="12" t="s">
        <v>114</v>
      </c>
      <c r="C70" s="13" t="s">
        <v>115</v>
      </c>
      <c r="D70" s="14" t="s">
        <v>24</v>
      </c>
      <c r="E70" s="14" t="s">
        <v>16</v>
      </c>
      <c r="F70" s="15">
        <v>43257</v>
      </c>
      <c r="G70" s="16">
        <v>0.04</v>
      </c>
      <c r="H70" s="15">
        <v>43350</v>
      </c>
      <c r="I70" s="16">
        <v>0.02</v>
      </c>
      <c r="J70" s="15"/>
      <c r="K70" s="16"/>
      <c r="L70" s="15"/>
      <c r="M70" s="63"/>
      <c r="N70" s="17"/>
      <c r="O70" s="16"/>
      <c r="P70" s="18">
        <f t="shared" si="0"/>
        <v>0.06</v>
      </c>
    </row>
    <row r="71" spans="2:16" x14ac:dyDescent="0.25">
      <c r="B71" s="12" t="s">
        <v>116</v>
      </c>
      <c r="C71" s="13" t="s">
        <v>117</v>
      </c>
      <c r="D71" s="14" t="s">
        <v>15</v>
      </c>
      <c r="E71" s="14" t="s">
        <v>16</v>
      </c>
      <c r="F71" s="15">
        <v>43096</v>
      </c>
      <c r="G71" s="16">
        <v>0.6</v>
      </c>
      <c r="H71" s="15">
        <v>43229</v>
      </c>
      <c r="I71" s="16">
        <v>0.78</v>
      </c>
      <c r="J71" s="15">
        <v>43355</v>
      </c>
      <c r="K71" s="16">
        <v>0.4</v>
      </c>
      <c r="L71" s="15"/>
      <c r="M71" s="63"/>
      <c r="N71" s="17"/>
      <c r="O71" s="16"/>
      <c r="P71" s="18">
        <f t="shared" si="0"/>
        <v>1.7799999999999998</v>
      </c>
    </row>
    <row r="72" spans="2:16" x14ac:dyDescent="0.25">
      <c r="B72" s="12" t="s">
        <v>118</v>
      </c>
      <c r="C72" s="13" t="s">
        <v>119</v>
      </c>
      <c r="D72" s="14" t="s">
        <v>15</v>
      </c>
      <c r="E72" s="14" t="s">
        <v>16</v>
      </c>
      <c r="F72" s="15">
        <v>43231</v>
      </c>
      <c r="G72" s="16">
        <v>1</v>
      </c>
      <c r="H72" s="15">
        <v>43231</v>
      </c>
      <c r="I72" s="16">
        <v>1</v>
      </c>
      <c r="J72" s="15"/>
      <c r="K72" s="16"/>
      <c r="L72" s="15"/>
      <c r="M72" s="63"/>
      <c r="N72" s="17"/>
      <c r="O72" s="16"/>
      <c r="P72" s="18">
        <f t="shared" si="0"/>
        <v>2</v>
      </c>
    </row>
    <row r="73" spans="2:16" x14ac:dyDescent="0.25">
      <c r="B73" s="12" t="s">
        <v>120</v>
      </c>
      <c r="C73" s="13" t="s">
        <v>121</v>
      </c>
      <c r="D73" s="14" t="s">
        <v>24</v>
      </c>
      <c r="E73" s="14" t="s">
        <v>16</v>
      </c>
      <c r="F73" s="15">
        <v>43222</v>
      </c>
      <c r="G73" s="16">
        <v>1.7</v>
      </c>
      <c r="H73" s="15"/>
      <c r="I73" s="16"/>
      <c r="J73" s="15"/>
      <c r="K73" s="16"/>
      <c r="L73" s="15"/>
      <c r="M73" s="63"/>
      <c r="N73" s="17"/>
      <c r="O73" s="16"/>
      <c r="P73" s="18">
        <f t="shared" si="0"/>
        <v>1.7</v>
      </c>
    </row>
    <row r="74" spans="2:16" x14ac:dyDescent="0.25">
      <c r="B74" s="12" t="s">
        <v>122</v>
      </c>
      <c r="C74" s="13" t="s">
        <v>123</v>
      </c>
      <c r="D74" s="14" t="s">
        <v>15</v>
      </c>
      <c r="E74" s="14" t="s">
        <v>77</v>
      </c>
      <c r="F74" s="15">
        <v>43146</v>
      </c>
      <c r="G74" s="16">
        <v>7.1691000000000003</v>
      </c>
      <c r="H74" s="15">
        <v>43230</v>
      </c>
      <c r="I74" s="16">
        <v>7.4435000000000002</v>
      </c>
      <c r="J74" s="15">
        <v>43321</v>
      </c>
      <c r="K74" s="16">
        <v>7.9295999999999998</v>
      </c>
      <c r="L74" s="15">
        <v>43412</v>
      </c>
      <c r="M74" s="16">
        <v>8.0251000000000001</v>
      </c>
      <c r="N74" s="17"/>
      <c r="O74" s="16"/>
      <c r="P74" s="18">
        <f t="shared" si="0"/>
        <v>30.567300000000003</v>
      </c>
    </row>
    <row r="75" spans="2:16" x14ac:dyDescent="0.25">
      <c r="B75" s="12" t="s">
        <v>124</v>
      </c>
      <c r="C75" s="13" t="s">
        <v>125</v>
      </c>
      <c r="D75" s="14" t="s">
        <v>15</v>
      </c>
      <c r="E75" s="14" t="s">
        <v>16</v>
      </c>
      <c r="F75" s="15">
        <v>43241</v>
      </c>
      <c r="G75" s="16">
        <v>0.11</v>
      </c>
      <c r="H75" s="15"/>
      <c r="I75" s="16"/>
      <c r="J75" s="15"/>
      <c r="K75" s="16"/>
      <c r="L75" s="15"/>
      <c r="M75" s="63"/>
      <c r="N75" s="17"/>
      <c r="O75" s="16"/>
      <c r="P75" s="18">
        <f t="shared" si="0"/>
        <v>0.11</v>
      </c>
    </row>
    <row r="76" spans="2:16" x14ac:dyDescent="0.25">
      <c r="B76" s="12" t="s">
        <v>126</v>
      </c>
      <c r="C76" s="13" t="s">
        <v>127</v>
      </c>
      <c r="D76" s="14" t="s">
        <v>27</v>
      </c>
      <c r="E76" s="14" t="s">
        <v>16</v>
      </c>
      <c r="F76" s="15">
        <v>43235</v>
      </c>
      <c r="G76" s="16">
        <v>0.25</v>
      </c>
      <c r="H76" s="15">
        <v>43440</v>
      </c>
      <c r="I76" s="16">
        <v>1.06</v>
      </c>
      <c r="J76" s="15"/>
      <c r="K76" s="16"/>
      <c r="L76" s="15"/>
      <c r="M76" s="63"/>
      <c r="N76" s="17"/>
      <c r="O76" s="16"/>
      <c r="P76" s="18">
        <f t="shared" si="0"/>
        <v>1.31</v>
      </c>
    </row>
    <row r="77" spans="2:16" x14ac:dyDescent="0.25">
      <c r="B77" s="19" t="s">
        <v>566</v>
      </c>
      <c r="C77" s="20" t="s">
        <v>593</v>
      </c>
      <c r="D77" s="21" t="s">
        <v>55</v>
      </c>
      <c r="E77" s="22" t="s">
        <v>56</v>
      </c>
      <c r="F77" s="23">
        <v>43195</v>
      </c>
      <c r="G77" s="24">
        <v>0.4</v>
      </c>
      <c r="H77" s="23">
        <v>43286</v>
      </c>
      <c r="I77" s="24">
        <v>0.4</v>
      </c>
      <c r="J77" s="23">
        <v>43377</v>
      </c>
      <c r="K77" s="24">
        <v>0.4</v>
      </c>
      <c r="L77" s="23">
        <v>43468</v>
      </c>
      <c r="M77" s="77">
        <v>0.41</v>
      </c>
      <c r="N77" s="25"/>
      <c r="O77" s="24"/>
      <c r="P77" s="26">
        <f t="shared" si="0"/>
        <v>1.61</v>
      </c>
    </row>
    <row r="78" spans="2:16" x14ac:dyDescent="0.25">
      <c r="B78" s="12" t="s">
        <v>128</v>
      </c>
      <c r="C78" s="13" t="s">
        <v>129</v>
      </c>
      <c r="D78" s="14" t="s">
        <v>15</v>
      </c>
      <c r="E78" s="14" t="s">
        <v>77</v>
      </c>
      <c r="F78" s="15">
        <v>43097</v>
      </c>
      <c r="G78" s="16">
        <v>43.6</v>
      </c>
      <c r="H78" s="15">
        <v>43181</v>
      </c>
      <c r="I78" s="16">
        <v>48.8</v>
      </c>
      <c r="J78" s="15">
        <v>43279</v>
      </c>
      <c r="K78" s="16">
        <v>48.8</v>
      </c>
      <c r="L78" s="15">
        <v>43377</v>
      </c>
      <c r="M78" s="63">
        <v>48.8</v>
      </c>
      <c r="N78" s="17"/>
      <c r="O78" s="16"/>
      <c r="P78" s="18">
        <f t="shared" si="0"/>
        <v>190</v>
      </c>
    </row>
    <row r="79" spans="2:16" x14ac:dyDescent="0.25">
      <c r="B79" s="19" t="s">
        <v>568</v>
      </c>
      <c r="C79" s="20" t="s">
        <v>595</v>
      </c>
      <c r="D79" s="21" t="s">
        <v>55</v>
      </c>
      <c r="E79" s="22" t="s">
        <v>56</v>
      </c>
      <c r="F79" s="23">
        <v>43180</v>
      </c>
      <c r="G79" s="24">
        <v>1.75</v>
      </c>
      <c r="H79" s="23">
        <v>43270</v>
      </c>
      <c r="I79" s="24">
        <v>1.75</v>
      </c>
      <c r="J79" s="23">
        <v>43361</v>
      </c>
      <c r="K79" s="24">
        <v>1.75</v>
      </c>
      <c r="L79" s="23">
        <v>43452</v>
      </c>
      <c r="M79" s="77">
        <v>2.65</v>
      </c>
      <c r="N79" s="25"/>
      <c r="O79" s="24"/>
      <c r="P79" s="26">
        <f t="shared" si="0"/>
        <v>7.9</v>
      </c>
    </row>
    <row r="80" spans="2:16" x14ac:dyDescent="0.25">
      <c r="B80" s="12" t="s">
        <v>130</v>
      </c>
      <c r="C80" s="13" t="s">
        <v>131</v>
      </c>
      <c r="D80" s="14" t="s">
        <v>15</v>
      </c>
      <c r="E80" s="14" t="s">
        <v>77</v>
      </c>
      <c r="F80" s="15">
        <v>43097</v>
      </c>
      <c r="G80" s="16">
        <v>4.8499999999999996</v>
      </c>
      <c r="H80" s="15">
        <v>43321</v>
      </c>
      <c r="I80" s="16">
        <v>10.55</v>
      </c>
      <c r="J80" s="15"/>
      <c r="K80" s="16"/>
      <c r="L80" s="15"/>
      <c r="M80" s="63"/>
      <c r="N80" s="17"/>
      <c r="O80" s="16"/>
      <c r="P80" s="18">
        <f t="shared" si="0"/>
        <v>15.4</v>
      </c>
    </row>
    <row r="81" spans="2:16" x14ac:dyDescent="0.25">
      <c r="B81" s="12" t="s">
        <v>132</v>
      </c>
      <c r="C81" s="13" t="s">
        <v>133</v>
      </c>
      <c r="D81" s="14" t="s">
        <v>15</v>
      </c>
      <c r="E81" s="14" t="s">
        <v>16</v>
      </c>
      <c r="F81" s="15">
        <v>43201</v>
      </c>
      <c r="G81" s="16">
        <v>0.08</v>
      </c>
      <c r="H81" s="15">
        <v>43405</v>
      </c>
      <c r="I81" s="16">
        <v>7.0000000000000007E-2</v>
      </c>
      <c r="J81" s="15"/>
      <c r="K81" s="16"/>
      <c r="L81" s="15"/>
      <c r="M81" s="63"/>
      <c r="N81" s="17"/>
      <c r="O81" s="16"/>
      <c r="P81" s="18">
        <f t="shared" ref="P81:P146" si="3">G81+I81+K81+M81+O81</f>
        <v>0.15000000000000002</v>
      </c>
    </row>
    <row r="82" spans="2:16" x14ac:dyDescent="0.25">
      <c r="B82" s="12" t="s">
        <v>608</v>
      </c>
      <c r="C82" s="13" t="s">
        <v>134</v>
      </c>
      <c r="D82" s="14" t="s">
        <v>24</v>
      </c>
      <c r="E82" s="14" t="s">
        <v>16</v>
      </c>
      <c r="F82" s="15">
        <v>43255</v>
      </c>
      <c r="G82" s="16">
        <v>1.7</v>
      </c>
      <c r="H82" s="15"/>
      <c r="I82" s="16"/>
      <c r="J82" s="15"/>
      <c r="K82" s="16"/>
      <c r="L82" s="15"/>
      <c r="M82" s="63"/>
      <c r="N82" s="17"/>
      <c r="O82" s="16"/>
      <c r="P82" s="18">
        <f t="shared" si="3"/>
        <v>1.7</v>
      </c>
    </row>
    <row r="83" spans="2:16" x14ac:dyDescent="0.25">
      <c r="B83" s="12" t="s">
        <v>135</v>
      </c>
      <c r="C83" s="13" t="s">
        <v>136</v>
      </c>
      <c r="D83" s="14" t="s">
        <v>24</v>
      </c>
      <c r="E83" s="14" t="s">
        <v>16</v>
      </c>
      <c r="F83" s="15">
        <v>43272</v>
      </c>
      <c r="G83" s="16">
        <v>0.46</v>
      </c>
      <c r="H83" s="15"/>
      <c r="I83" s="16"/>
      <c r="J83" s="15"/>
      <c r="K83" s="16"/>
      <c r="L83" s="15"/>
      <c r="M83" s="63"/>
      <c r="N83" s="17"/>
      <c r="O83" s="16"/>
      <c r="P83" s="18">
        <f t="shared" si="3"/>
        <v>0.46</v>
      </c>
    </row>
    <row r="84" spans="2:16" x14ac:dyDescent="0.25">
      <c r="B84" s="12" t="s">
        <v>137</v>
      </c>
      <c r="C84" s="13" t="s">
        <v>138</v>
      </c>
      <c r="D84" s="14" t="s">
        <v>24</v>
      </c>
      <c r="E84" s="14" t="s">
        <v>16</v>
      </c>
      <c r="F84" s="15">
        <v>43238</v>
      </c>
      <c r="G84" s="16">
        <v>1.56</v>
      </c>
      <c r="H84" s="15">
        <v>43437</v>
      </c>
      <c r="I84" s="16">
        <v>1.56</v>
      </c>
      <c r="J84" s="15"/>
      <c r="K84" s="16"/>
      <c r="L84" s="15"/>
      <c r="M84" s="63"/>
      <c r="N84" s="17"/>
      <c r="O84" s="16"/>
      <c r="P84" s="18">
        <f t="shared" si="3"/>
        <v>3.12</v>
      </c>
    </row>
    <row r="85" spans="2:16" x14ac:dyDescent="0.25">
      <c r="B85" s="12" t="s">
        <v>139</v>
      </c>
      <c r="C85" s="13" t="s">
        <v>140</v>
      </c>
      <c r="D85" s="14" t="s">
        <v>15</v>
      </c>
      <c r="E85" s="14" t="s">
        <v>77</v>
      </c>
      <c r="F85" s="15">
        <v>43230</v>
      </c>
      <c r="G85" s="16">
        <v>8.4</v>
      </c>
      <c r="H85" s="15">
        <v>43384</v>
      </c>
      <c r="I85" s="16">
        <v>3.6</v>
      </c>
      <c r="J85" s="15"/>
      <c r="K85" s="16"/>
      <c r="L85" s="15"/>
      <c r="M85" s="63"/>
      <c r="N85" s="17"/>
      <c r="O85" s="16"/>
      <c r="P85" s="18">
        <f t="shared" si="3"/>
        <v>12</v>
      </c>
    </row>
    <row r="86" spans="2:16" x14ac:dyDescent="0.25">
      <c r="B86" s="19" t="s">
        <v>141</v>
      </c>
      <c r="C86" s="20" t="s">
        <v>142</v>
      </c>
      <c r="D86" s="21" t="s">
        <v>55</v>
      </c>
      <c r="E86" s="22" t="s">
        <v>56</v>
      </c>
      <c r="F86" s="23">
        <v>43146</v>
      </c>
      <c r="G86" s="24">
        <v>1.1200000000000001</v>
      </c>
      <c r="H86" s="23">
        <v>43237</v>
      </c>
      <c r="I86" s="24">
        <v>1.1200000000000001</v>
      </c>
      <c r="J86" s="23">
        <v>43328</v>
      </c>
      <c r="K86" s="24">
        <v>1.1200000000000001</v>
      </c>
      <c r="L86" s="23">
        <v>43419</v>
      </c>
      <c r="M86" s="77">
        <v>1.1200000000000001</v>
      </c>
      <c r="N86" s="25"/>
      <c r="O86" s="24"/>
      <c r="P86" s="26">
        <f t="shared" si="3"/>
        <v>4.4800000000000004</v>
      </c>
    </row>
    <row r="87" spans="2:16" x14ac:dyDescent="0.25">
      <c r="B87" s="19" t="s">
        <v>143</v>
      </c>
      <c r="C87" s="20" t="s">
        <v>144</v>
      </c>
      <c r="D87" s="21" t="s">
        <v>55</v>
      </c>
      <c r="E87" s="22" t="s">
        <v>56</v>
      </c>
      <c r="F87" s="23">
        <v>43194</v>
      </c>
      <c r="G87" s="24">
        <v>0.33</v>
      </c>
      <c r="H87" s="23">
        <v>43286</v>
      </c>
      <c r="I87" s="24">
        <v>0.33</v>
      </c>
      <c r="J87" s="23">
        <v>43377</v>
      </c>
      <c r="K87" s="24">
        <v>0.33</v>
      </c>
      <c r="L87" s="23">
        <v>43468</v>
      </c>
      <c r="M87" s="77">
        <v>0.33</v>
      </c>
      <c r="N87" s="25"/>
      <c r="O87" s="24"/>
      <c r="P87" s="26">
        <f t="shared" si="3"/>
        <v>1.32</v>
      </c>
    </row>
    <row r="88" spans="2:16" x14ac:dyDescent="0.25">
      <c r="B88" s="19" t="s">
        <v>145</v>
      </c>
      <c r="C88" s="20" t="s">
        <v>146</v>
      </c>
      <c r="D88" s="21" t="s">
        <v>55</v>
      </c>
      <c r="E88" s="22" t="s">
        <v>56</v>
      </c>
      <c r="F88" s="23">
        <v>43133</v>
      </c>
      <c r="G88" s="24">
        <v>0.32</v>
      </c>
      <c r="H88" s="23">
        <v>43224</v>
      </c>
      <c r="I88" s="24">
        <v>0.32</v>
      </c>
      <c r="J88" s="23">
        <v>43315</v>
      </c>
      <c r="K88" s="24">
        <v>0.45</v>
      </c>
      <c r="L88" s="23">
        <v>43406</v>
      </c>
      <c r="M88" s="24">
        <v>0.45</v>
      </c>
      <c r="N88" s="25"/>
      <c r="O88" s="24"/>
      <c r="P88" s="26">
        <f t="shared" si="3"/>
        <v>1.54</v>
      </c>
    </row>
    <row r="89" spans="2:16" x14ac:dyDescent="0.25">
      <c r="B89" s="19" t="s">
        <v>147</v>
      </c>
      <c r="C89" s="20" t="s">
        <v>148</v>
      </c>
      <c r="D89" s="21" t="s">
        <v>55</v>
      </c>
      <c r="E89" s="22" t="s">
        <v>56</v>
      </c>
      <c r="F89" s="29">
        <v>43167</v>
      </c>
      <c r="G89" s="71">
        <f>0.7*0.99040149</f>
        <v>0.69328104299999993</v>
      </c>
      <c r="H89" s="29">
        <v>43258</v>
      </c>
      <c r="I89" s="71">
        <f>0.7*0.99040149</f>
        <v>0.69328104299999993</v>
      </c>
      <c r="J89" s="29">
        <v>43350</v>
      </c>
      <c r="K89" s="71">
        <f>0.7*0.99040149</f>
        <v>0.69328104299999993</v>
      </c>
      <c r="L89" s="29">
        <v>43441</v>
      </c>
      <c r="M89" s="71">
        <f>0.7*0.99040149</f>
        <v>0.69328104299999993</v>
      </c>
      <c r="N89" s="25"/>
      <c r="O89" s="24"/>
      <c r="P89" s="26">
        <f t="shared" si="3"/>
        <v>2.7731241719999997</v>
      </c>
    </row>
    <row r="90" spans="2:16" x14ac:dyDescent="0.25">
      <c r="B90" s="19" t="s">
        <v>149</v>
      </c>
      <c r="C90" s="20" t="s">
        <v>150</v>
      </c>
      <c r="D90" s="21" t="s">
        <v>55</v>
      </c>
      <c r="E90" s="22" t="s">
        <v>56</v>
      </c>
      <c r="F90" s="23">
        <v>43173</v>
      </c>
      <c r="G90" s="24">
        <v>0.39</v>
      </c>
      <c r="H90" s="23">
        <v>43265</v>
      </c>
      <c r="I90" s="24">
        <v>0.39</v>
      </c>
      <c r="J90" s="23">
        <v>43356</v>
      </c>
      <c r="K90" s="24">
        <v>0.39</v>
      </c>
      <c r="L90" s="23">
        <v>43433</v>
      </c>
      <c r="M90" s="77">
        <v>0.39</v>
      </c>
      <c r="N90" s="25"/>
      <c r="O90" s="24"/>
      <c r="P90" s="26">
        <f t="shared" si="3"/>
        <v>1.56</v>
      </c>
    </row>
    <row r="91" spans="2:16" x14ac:dyDescent="0.25">
      <c r="B91" s="12" t="s">
        <v>151</v>
      </c>
      <c r="C91" s="13" t="s">
        <v>152</v>
      </c>
      <c r="D91" s="14" t="s">
        <v>15</v>
      </c>
      <c r="E91" s="14" t="s">
        <v>16</v>
      </c>
      <c r="F91" s="15">
        <v>43279</v>
      </c>
      <c r="G91" s="16">
        <v>0.54</v>
      </c>
      <c r="H91" s="15"/>
      <c r="I91" s="16"/>
      <c r="J91" s="15"/>
      <c r="K91" s="16"/>
      <c r="L91" s="15"/>
      <c r="M91" s="63"/>
      <c r="N91" s="17"/>
      <c r="O91" s="16"/>
      <c r="P91" s="18">
        <f t="shared" si="3"/>
        <v>0.54</v>
      </c>
    </row>
    <row r="92" spans="2:16" x14ac:dyDescent="0.25">
      <c r="B92" s="12" t="s">
        <v>153</v>
      </c>
      <c r="C92" s="13" t="s">
        <v>154</v>
      </c>
      <c r="D92" s="14" t="s">
        <v>27</v>
      </c>
      <c r="E92" s="14" t="s">
        <v>16</v>
      </c>
      <c r="F92" s="15">
        <v>43371</v>
      </c>
      <c r="G92" s="16">
        <v>1.22</v>
      </c>
      <c r="H92" s="15"/>
      <c r="I92" s="16"/>
      <c r="J92" s="15"/>
      <c r="K92" s="16"/>
      <c r="L92" s="15"/>
      <c r="M92" s="63"/>
      <c r="N92" s="17"/>
      <c r="O92" s="16"/>
      <c r="P92" s="18">
        <f t="shared" si="3"/>
        <v>1.22</v>
      </c>
    </row>
    <row r="93" spans="2:16" x14ac:dyDescent="0.25">
      <c r="B93" s="19" t="s">
        <v>550</v>
      </c>
      <c r="C93" s="20" t="s">
        <v>155</v>
      </c>
      <c r="D93" s="21" t="s">
        <v>55</v>
      </c>
      <c r="E93" s="22" t="s">
        <v>56</v>
      </c>
      <c r="F93" s="23">
        <v>43193</v>
      </c>
      <c r="G93" s="24">
        <v>0.19</v>
      </c>
      <c r="H93" s="23">
        <v>43283</v>
      </c>
      <c r="I93" s="24">
        <v>0.19</v>
      </c>
      <c r="J93" s="23">
        <v>43375</v>
      </c>
      <c r="K93" s="24">
        <v>0.19</v>
      </c>
      <c r="L93" s="15">
        <v>43465</v>
      </c>
      <c r="M93" s="77">
        <v>0.19</v>
      </c>
      <c r="N93" s="25"/>
      <c r="O93" s="24"/>
      <c r="P93" s="26">
        <f t="shared" si="3"/>
        <v>0.76</v>
      </c>
    </row>
    <row r="94" spans="2:16" x14ac:dyDescent="0.25">
      <c r="B94" s="12" t="s">
        <v>156</v>
      </c>
      <c r="C94" s="13" t="s">
        <v>157</v>
      </c>
      <c r="D94" s="14" t="s">
        <v>15</v>
      </c>
      <c r="E94" s="14" t="s">
        <v>21</v>
      </c>
      <c r="F94" s="15">
        <v>43362</v>
      </c>
      <c r="G94" s="16">
        <v>1.9</v>
      </c>
      <c r="H94" s="15"/>
      <c r="I94" s="16"/>
      <c r="J94" s="15"/>
      <c r="K94" s="16"/>
      <c r="L94" s="15"/>
      <c r="M94" s="63"/>
      <c r="N94" s="17"/>
      <c r="O94" s="16"/>
      <c r="P94" s="18">
        <f t="shared" si="3"/>
        <v>1.9</v>
      </c>
    </row>
    <row r="95" spans="2:16" x14ac:dyDescent="0.25">
      <c r="B95" s="31" t="s">
        <v>158</v>
      </c>
      <c r="C95" s="32" t="s">
        <v>159</v>
      </c>
      <c r="D95" s="14" t="s">
        <v>15</v>
      </c>
      <c r="E95" s="14" t="s">
        <v>77</v>
      </c>
      <c r="F95" s="15">
        <v>43118</v>
      </c>
      <c r="G95" s="16">
        <v>22.3</v>
      </c>
      <c r="H95" s="15">
        <v>43272</v>
      </c>
      <c r="I95" s="16">
        <v>12.3</v>
      </c>
      <c r="J95" s="15"/>
      <c r="K95" s="16"/>
      <c r="L95" s="15"/>
      <c r="M95" s="63"/>
      <c r="N95" s="17"/>
      <c r="O95" s="16"/>
      <c r="P95" s="18">
        <f t="shared" si="3"/>
        <v>34.6</v>
      </c>
    </row>
    <row r="96" spans="2:16" x14ac:dyDescent="0.25">
      <c r="B96" s="19" t="s">
        <v>160</v>
      </c>
      <c r="C96" s="66" t="s">
        <v>161</v>
      </c>
      <c r="D96" s="21" t="s">
        <v>55</v>
      </c>
      <c r="E96" s="22" t="s">
        <v>56</v>
      </c>
      <c r="F96" s="23">
        <v>43140</v>
      </c>
      <c r="G96" s="24">
        <v>0.28499999999999998</v>
      </c>
      <c r="H96" s="23">
        <v>43231</v>
      </c>
      <c r="I96" s="24">
        <v>0.28499999999999998</v>
      </c>
      <c r="J96" s="23">
        <v>43301</v>
      </c>
      <c r="K96" s="24">
        <v>0.28499999999999998</v>
      </c>
      <c r="L96" s="23">
        <v>43385</v>
      </c>
      <c r="M96" s="24">
        <v>0.30499999999999999</v>
      </c>
      <c r="N96" s="25"/>
      <c r="O96" s="24"/>
      <c r="P96" s="26">
        <f t="shared" si="3"/>
        <v>1.1599999999999999</v>
      </c>
    </row>
    <row r="97" spans="1:17" x14ac:dyDescent="0.25">
      <c r="A97" s="33"/>
      <c r="B97" s="34" t="s">
        <v>162</v>
      </c>
      <c r="C97" s="35" t="s">
        <v>163</v>
      </c>
      <c r="D97" s="14" t="s">
        <v>15</v>
      </c>
      <c r="E97" s="14" t="s">
        <v>16</v>
      </c>
      <c r="F97" s="15">
        <v>43220</v>
      </c>
      <c r="G97" s="16">
        <v>4.5</v>
      </c>
      <c r="H97" s="15"/>
      <c r="I97" s="16"/>
      <c r="J97" s="15"/>
      <c r="K97" s="16"/>
      <c r="L97" s="15"/>
      <c r="M97" s="63"/>
      <c r="N97" s="17"/>
      <c r="O97" s="16"/>
      <c r="P97" s="18">
        <f t="shared" si="3"/>
        <v>4.5</v>
      </c>
      <c r="Q97" s="36"/>
    </row>
    <row r="98" spans="1:17" x14ac:dyDescent="0.25">
      <c r="A98" s="33"/>
      <c r="B98" s="34" t="s">
        <v>164</v>
      </c>
      <c r="C98" s="35" t="s">
        <v>165</v>
      </c>
      <c r="D98" s="14" t="s">
        <v>24</v>
      </c>
      <c r="E98" s="14" t="s">
        <v>16</v>
      </c>
      <c r="F98" s="15">
        <v>43242</v>
      </c>
      <c r="G98" s="16">
        <v>0.63</v>
      </c>
      <c r="H98" s="15"/>
      <c r="I98" s="16"/>
      <c r="J98" s="15"/>
      <c r="K98" s="16"/>
      <c r="L98" s="15"/>
      <c r="M98" s="63"/>
      <c r="N98" s="17"/>
      <c r="O98" s="16"/>
      <c r="P98" s="18">
        <f t="shared" si="3"/>
        <v>0.63</v>
      </c>
      <c r="Q98" s="36"/>
    </row>
    <row r="99" spans="1:17" x14ac:dyDescent="0.25">
      <c r="A99" s="33"/>
      <c r="B99" s="37" t="s">
        <v>166</v>
      </c>
      <c r="C99" s="13" t="s">
        <v>167</v>
      </c>
      <c r="D99" s="14" t="s">
        <v>15</v>
      </c>
      <c r="E99" s="14" t="s">
        <v>21</v>
      </c>
      <c r="F99" s="15">
        <v>43224</v>
      </c>
      <c r="G99" s="16">
        <v>0.25</v>
      </c>
      <c r="H99" s="15"/>
      <c r="I99" s="16"/>
      <c r="J99" s="15"/>
      <c r="K99" s="16"/>
      <c r="L99" s="15"/>
      <c r="M99" s="63"/>
      <c r="N99" s="17"/>
      <c r="O99" s="16"/>
      <c r="P99" s="18">
        <f t="shared" si="3"/>
        <v>0.25</v>
      </c>
      <c r="Q99" s="36"/>
    </row>
    <row r="100" spans="1:17" x14ac:dyDescent="0.25">
      <c r="A100" s="33"/>
      <c r="B100" s="37" t="s">
        <v>168</v>
      </c>
      <c r="C100" s="13" t="s">
        <v>169</v>
      </c>
      <c r="D100" s="14" t="s">
        <v>15</v>
      </c>
      <c r="E100" s="14" t="s">
        <v>16</v>
      </c>
      <c r="F100" s="15">
        <v>43167</v>
      </c>
      <c r="G100" s="16">
        <v>0.48799999999999999</v>
      </c>
      <c r="H100" s="15">
        <v>43349</v>
      </c>
      <c r="I100" s="16">
        <v>0.19600000000000001</v>
      </c>
      <c r="J100" s="15"/>
      <c r="K100" s="16"/>
      <c r="L100" s="15"/>
      <c r="M100" s="63"/>
      <c r="N100" s="17"/>
      <c r="O100" s="16"/>
      <c r="P100" s="18">
        <f t="shared" si="3"/>
        <v>0.68399999999999994</v>
      </c>
      <c r="Q100" s="36"/>
    </row>
    <row r="101" spans="1:17" x14ac:dyDescent="0.25">
      <c r="A101" s="33"/>
      <c r="B101" s="38" t="s">
        <v>577</v>
      </c>
      <c r="C101" s="20" t="s">
        <v>604</v>
      </c>
      <c r="D101" s="21" t="s">
        <v>55</v>
      </c>
      <c r="E101" s="22" t="s">
        <v>56</v>
      </c>
      <c r="F101" s="23">
        <v>43123</v>
      </c>
      <c r="G101" s="24">
        <v>0.5</v>
      </c>
      <c r="H101" s="23">
        <v>43210</v>
      </c>
      <c r="I101" s="24">
        <v>0.5</v>
      </c>
      <c r="J101" s="23">
        <v>43305</v>
      </c>
      <c r="K101" s="24">
        <v>0.5</v>
      </c>
      <c r="L101" s="23">
        <v>43396</v>
      </c>
      <c r="M101" s="77">
        <v>0.5</v>
      </c>
      <c r="N101" s="25"/>
      <c r="O101" s="24"/>
      <c r="P101" s="26">
        <f t="shared" si="3"/>
        <v>2</v>
      </c>
      <c r="Q101" s="36"/>
    </row>
    <row r="102" spans="1:17" x14ac:dyDescent="0.25">
      <c r="B102" s="12" t="s">
        <v>170</v>
      </c>
      <c r="C102" s="13" t="s">
        <v>171</v>
      </c>
      <c r="D102" s="14" t="s">
        <v>15</v>
      </c>
      <c r="E102" s="14" t="s">
        <v>16</v>
      </c>
      <c r="F102" s="15">
        <v>43196</v>
      </c>
      <c r="G102" s="16">
        <v>3.65</v>
      </c>
      <c r="H102" s="15"/>
      <c r="I102" s="16"/>
      <c r="J102" s="15"/>
      <c r="K102" s="16"/>
      <c r="L102" s="15"/>
      <c r="M102" s="63"/>
      <c r="N102" s="17"/>
      <c r="O102" s="16"/>
      <c r="P102" s="18">
        <f t="shared" si="3"/>
        <v>3.65</v>
      </c>
    </row>
    <row r="103" spans="1:17" x14ac:dyDescent="0.25">
      <c r="B103" s="12" t="s">
        <v>172</v>
      </c>
      <c r="C103" s="13" t="s">
        <v>173</v>
      </c>
      <c r="D103" s="14" t="s">
        <v>24</v>
      </c>
      <c r="E103" s="14" t="s">
        <v>16</v>
      </c>
      <c r="F103" s="15">
        <v>43224</v>
      </c>
      <c r="G103" s="16">
        <v>1.9</v>
      </c>
      <c r="H103" s="15"/>
      <c r="I103" s="16"/>
      <c r="J103" s="15"/>
      <c r="K103" s="16"/>
      <c r="L103" s="15"/>
      <c r="M103" s="63"/>
      <c r="N103" s="17"/>
      <c r="O103" s="16"/>
      <c r="P103" s="18">
        <f t="shared" si="3"/>
        <v>1.9</v>
      </c>
    </row>
    <row r="104" spans="1:17" x14ac:dyDescent="0.25">
      <c r="B104" s="12" t="s">
        <v>174</v>
      </c>
      <c r="C104" s="13" t="s">
        <v>175</v>
      </c>
      <c r="D104" s="14" t="s">
        <v>15</v>
      </c>
      <c r="E104" s="14" t="s">
        <v>16</v>
      </c>
      <c r="F104" s="15">
        <v>43245</v>
      </c>
      <c r="G104" s="16">
        <v>0.11</v>
      </c>
      <c r="H104" s="15"/>
      <c r="I104" s="16"/>
      <c r="J104" s="15"/>
      <c r="K104" s="16"/>
      <c r="L104" s="15"/>
      <c r="M104" s="63"/>
      <c r="N104" s="17"/>
      <c r="O104" s="16"/>
      <c r="P104" s="18">
        <f t="shared" si="3"/>
        <v>0.11</v>
      </c>
    </row>
    <row r="105" spans="1:17" x14ac:dyDescent="0.25">
      <c r="B105" s="12" t="s">
        <v>176</v>
      </c>
      <c r="C105" s="13" t="s">
        <v>177</v>
      </c>
      <c r="D105" s="14" t="s">
        <v>15</v>
      </c>
      <c r="E105" s="14" t="s">
        <v>16</v>
      </c>
      <c r="F105" s="15">
        <v>43237</v>
      </c>
      <c r="G105" s="16">
        <v>2.4500000000000002</v>
      </c>
      <c r="H105" s="15"/>
      <c r="I105" s="16"/>
      <c r="J105" s="15"/>
      <c r="K105" s="16"/>
      <c r="L105" s="15"/>
      <c r="M105" s="63"/>
      <c r="N105" s="17"/>
      <c r="O105" s="16"/>
      <c r="P105" s="18">
        <f t="shared" si="3"/>
        <v>2.4500000000000002</v>
      </c>
    </row>
    <row r="106" spans="1:17" x14ac:dyDescent="0.25">
      <c r="B106" s="12" t="s">
        <v>178</v>
      </c>
      <c r="C106" s="13" t="s">
        <v>179</v>
      </c>
      <c r="D106" s="14" t="s">
        <v>15</v>
      </c>
      <c r="E106" s="14" t="s">
        <v>16</v>
      </c>
      <c r="F106" s="15">
        <v>43229</v>
      </c>
      <c r="G106" s="16">
        <v>0.8</v>
      </c>
      <c r="H106" s="15"/>
      <c r="I106" s="16"/>
      <c r="J106" s="15"/>
      <c r="K106" s="16"/>
      <c r="L106" s="15"/>
      <c r="M106" s="63"/>
      <c r="N106" s="17"/>
      <c r="O106" s="16"/>
      <c r="P106" s="18">
        <f t="shared" si="3"/>
        <v>0.8</v>
      </c>
    </row>
    <row r="107" spans="1:17" x14ac:dyDescent="0.25">
      <c r="B107" s="12" t="s">
        <v>180</v>
      </c>
      <c r="C107" s="13" t="s">
        <v>181</v>
      </c>
      <c r="D107" s="14" t="s">
        <v>15</v>
      </c>
      <c r="E107" s="14" t="s">
        <v>16</v>
      </c>
      <c r="F107" s="15">
        <v>43215</v>
      </c>
      <c r="G107" s="16">
        <v>1.1499999999999999</v>
      </c>
      <c r="H107" s="15"/>
      <c r="I107" s="16"/>
      <c r="J107" s="15"/>
      <c r="K107" s="16"/>
      <c r="L107" s="15"/>
      <c r="M107" s="63"/>
      <c r="N107" s="17"/>
      <c r="O107" s="16"/>
      <c r="P107" s="18">
        <f t="shared" si="3"/>
        <v>1.1499999999999999</v>
      </c>
    </row>
    <row r="108" spans="1:17" x14ac:dyDescent="0.25">
      <c r="B108" s="12" t="s">
        <v>182</v>
      </c>
      <c r="C108" s="13" t="s">
        <v>183</v>
      </c>
      <c r="D108" s="14" t="s">
        <v>15</v>
      </c>
      <c r="E108" s="14" t="s">
        <v>16</v>
      </c>
      <c r="F108" s="15">
        <v>43235</v>
      </c>
      <c r="G108" s="16">
        <v>0.65</v>
      </c>
      <c r="H108" s="15"/>
      <c r="I108" s="16"/>
      <c r="J108" s="15"/>
      <c r="K108" s="16"/>
      <c r="L108" s="15"/>
      <c r="M108" s="63"/>
      <c r="N108" s="17"/>
      <c r="O108" s="16"/>
      <c r="P108" s="18">
        <f t="shared" si="3"/>
        <v>0.65</v>
      </c>
    </row>
    <row r="109" spans="1:17" x14ac:dyDescent="0.25">
      <c r="B109" s="12" t="s">
        <v>184</v>
      </c>
      <c r="C109" s="13" t="s">
        <v>185</v>
      </c>
      <c r="D109" s="14" t="s">
        <v>15</v>
      </c>
      <c r="E109" s="14" t="s">
        <v>77</v>
      </c>
      <c r="F109" s="15">
        <v>43153</v>
      </c>
      <c r="G109" s="16">
        <v>24.9</v>
      </c>
      <c r="H109" s="15">
        <v>43321</v>
      </c>
      <c r="I109" s="16">
        <v>40.4</v>
      </c>
      <c r="J109" s="15"/>
      <c r="K109" s="16"/>
      <c r="L109" s="15"/>
      <c r="M109" s="63"/>
      <c r="N109" s="17"/>
      <c r="O109" s="16"/>
      <c r="P109" s="18">
        <f t="shared" si="3"/>
        <v>65.3</v>
      </c>
    </row>
    <row r="110" spans="1:17" x14ac:dyDescent="0.25">
      <c r="B110" s="12" t="s">
        <v>186</v>
      </c>
      <c r="C110" s="13" t="s">
        <v>187</v>
      </c>
      <c r="D110" s="14" t="s">
        <v>27</v>
      </c>
      <c r="E110" s="14" t="s">
        <v>16</v>
      </c>
      <c r="F110" s="29">
        <v>43256</v>
      </c>
      <c r="G110" s="71">
        <v>0.87429999999999997</v>
      </c>
      <c r="H110" s="15"/>
      <c r="I110" s="16"/>
      <c r="J110" s="15"/>
      <c r="K110" s="16"/>
      <c r="L110" s="15"/>
      <c r="M110" s="63"/>
      <c r="N110" s="17"/>
      <c r="O110" s="16"/>
      <c r="P110" s="18">
        <f t="shared" si="3"/>
        <v>0.87429999999999997</v>
      </c>
    </row>
    <row r="111" spans="1:17" x14ac:dyDescent="0.25">
      <c r="B111" s="12" t="s">
        <v>188</v>
      </c>
      <c r="C111" s="13" t="s">
        <v>189</v>
      </c>
      <c r="D111" s="14" t="s">
        <v>15</v>
      </c>
      <c r="E111" s="14" t="s">
        <v>16</v>
      </c>
      <c r="F111" s="15">
        <v>43294</v>
      </c>
      <c r="G111" s="16">
        <v>0.18</v>
      </c>
      <c r="H111" s="15"/>
      <c r="I111" s="16"/>
      <c r="J111" s="15"/>
      <c r="K111" s="16"/>
      <c r="L111" s="15"/>
      <c r="M111" s="63"/>
      <c r="N111" s="17"/>
      <c r="O111" s="16"/>
      <c r="P111" s="18">
        <f t="shared" si="3"/>
        <v>0.18</v>
      </c>
    </row>
    <row r="112" spans="1:17" x14ac:dyDescent="0.25">
      <c r="B112" s="12" t="s">
        <v>190</v>
      </c>
      <c r="C112" s="13" t="s">
        <v>191</v>
      </c>
      <c r="D112" s="14" t="s">
        <v>15</v>
      </c>
      <c r="E112" s="14" t="s">
        <v>16</v>
      </c>
      <c r="F112" s="15">
        <v>43231</v>
      </c>
      <c r="G112" s="16">
        <v>1.27</v>
      </c>
      <c r="H112" s="15">
        <v>43315</v>
      </c>
      <c r="I112" s="16">
        <v>0.77</v>
      </c>
      <c r="J112" s="15"/>
      <c r="K112" s="16"/>
      <c r="L112" s="15"/>
      <c r="M112" s="63"/>
      <c r="N112" s="17"/>
      <c r="O112" s="16"/>
      <c r="P112" s="18">
        <f t="shared" si="3"/>
        <v>2.04</v>
      </c>
    </row>
    <row r="113" spans="2:16" x14ac:dyDescent="0.25">
      <c r="B113" s="19" t="s">
        <v>192</v>
      </c>
      <c r="C113" s="20" t="s">
        <v>193</v>
      </c>
      <c r="D113" s="21" t="s">
        <v>55</v>
      </c>
      <c r="E113" s="22" t="s">
        <v>56</v>
      </c>
      <c r="F113" s="23">
        <v>43146</v>
      </c>
      <c r="G113" s="24">
        <v>0.89</v>
      </c>
      <c r="H113" s="23">
        <v>43237</v>
      </c>
      <c r="I113" s="24">
        <v>0.89</v>
      </c>
      <c r="J113" s="23">
        <v>43328</v>
      </c>
      <c r="K113" s="24">
        <v>0.92749999999999999</v>
      </c>
      <c r="L113" s="23">
        <v>43419</v>
      </c>
      <c r="M113" s="77">
        <v>0.92749999999999999</v>
      </c>
      <c r="N113" s="25"/>
      <c r="O113" s="24"/>
      <c r="P113" s="26">
        <f t="shared" si="3"/>
        <v>3.6349999999999998</v>
      </c>
    </row>
    <row r="114" spans="2:16" x14ac:dyDescent="0.25">
      <c r="B114" s="12" t="s">
        <v>194</v>
      </c>
      <c r="C114" s="13" t="s">
        <v>195</v>
      </c>
      <c r="D114" s="14" t="s">
        <v>15</v>
      </c>
      <c r="E114" s="14" t="s">
        <v>16</v>
      </c>
      <c r="F114" s="15">
        <v>43230</v>
      </c>
      <c r="G114" s="16">
        <v>0.3</v>
      </c>
      <c r="H114" s="15"/>
      <c r="I114" s="16"/>
      <c r="J114" s="15"/>
      <c r="K114" s="16"/>
      <c r="L114" s="15"/>
      <c r="M114" s="63"/>
      <c r="N114" s="17"/>
      <c r="O114" s="16"/>
      <c r="P114" s="18">
        <f t="shared" si="3"/>
        <v>0.3</v>
      </c>
    </row>
    <row r="115" spans="2:16" x14ac:dyDescent="0.25">
      <c r="B115" s="12" t="s">
        <v>196</v>
      </c>
      <c r="C115" s="13" t="s">
        <v>197</v>
      </c>
      <c r="D115" s="14" t="s">
        <v>24</v>
      </c>
      <c r="E115" s="14" t="s">
        <v>16</v>
      </c>
      <c r="F115" s="15">
        <v>43245</v>
      </c>
      <c r="G115" s="16">
        <v>0.31</v>
      </c>
      <c r="H115" s="15">
        <v>43440</v>
      </c>
      <c r="I115" s="16">
        <v>0.15</v>
      </c>
      <c r="J115" s="15"/>
      <c r="K115" s="16"/>
      <c r="L115" s="15"/>
      <c r="M115" s="63"/>
      <c r="N115" s="17"/>
      <c r="O115" s="16"/>
      <c r="P115" s="18">
        <f t="shared" si="3"/>
        <v>0.45999999999999996</v>
      </c>
    </row>
    <row r="116" spans="2:16" x14ac:dyDescent="0.25">
      <c r="B116" s="12" t="s">
        <v>198</v>
      </c>
      <c r="C116" s="13" t="s">
        <v>199</v>
      </c>
      <c r="D116" s="14" t="s">
        <v>15</v>
      </c>
      <c r="E116" s="14" t="s">
        <v>200</v>
      </c>
      <c r="F116" s="15">
        <v>43196</v>
      </c>
      <c r="G116" s="16">
        <v>4.1500000000000004</v>
      </c>
      <c r="H116" s="15">
        <v>43381</v>
      </c>
      <c r="I116" s="16">
        <v>4.1500000000000004</v>
      </c>
      <c r="J116" s="15"/>
      <c r="K116" s="16"/>
      <c r="L116" s="15"/>
      <c r="M116" s="63"/>
      <c r="N116" s="17"/>
      <c r="O116" s="16"/>
      <c r="P116" s="18">
        <f t="shared" si="3"/>
        <v>8.3000000000000007</v>
      </c>
    </row>
    <row r="117" spans="2:16" x14ac:dyDescent="0.25">
      <c r="B117" s="19" t="s">
        <v>575</v>
      </c>
      <c r="C117" s="20" t="s">
        <v>602</v>
      </c>
      <c r="D117" s="21" t="s">
        <v>55</v>
      </c>
      <c r="E117" s="22" t="s">
        <v>56</v>
      </c>
      <c r="F117" s="23">
        <v>43145</v>
      </c>
      <c r="G117" s="24">
        <v>0.5625</v>
      </c>
      <c r="H117" s="23">
        <v>43236</v>
      </c>
      <c r="I117" s="24">
        <v>0.5625</v>
      </c>
      <c r="J117" s="23">
        <v>43326</v>
      </c>
      <c r="K117" s="24">
        <v>0.5625</v>
      </c>
      <c r="L117" s="23">
        <v>43418</v>
      </c>
      <c r="M117" s="77">
        <v>0.5625</v>
      </c>
      <c r="N117" s="25"/>
      <c r="O117" s="24"/>
      <c r="P117" s="26">
        <f t="shared" si="3"/>
        <v>2.25</v>
      </c>
    </row>
    <row r="118" spans="2:16" x14ac:dyDescent="0.25">
      <c r="B118" s="12" t="s">
        <v>201</v>
      </c>
      <c r="C118" s="13" t="s">
        <v>202</v>
      </c>
      <c r="D118" s="14" t="s">
        <v>27</v>
      </c>
      <c r="E118" s="14" t="s">
        <v>16</v>
      </c>
      <c r="F118" s="15">
        <v>43250</v>
      </c>
      <c r="G118" s="16">
        <v>1.62</v>
      </c>
      <c r="H118" s="15"/>
      <c r="I118" s="16"/>
      <c r="J118" s="15"/>
      <c r="K118" s="16"/>
      <c r="L118" s="15"/>
      <c r="M118" s="63"/>
      <c r="N118" s="17"/>
      <c r="O118" s="16"/>
      <c r="P118" s="18">
        <f t="shared" si="3"/>
        <v>1.62</v>
      </c>
    </row>
    <row r="119" spans="2:16" x14ac:dyDescent="0.25">
      <c r="B119" s="12" t="s">
        <v>203</v>
      </c>
      <c r="C119" s="13" t="s">
        <v>204</v>
      </c>
      <c r="D119" s="14" t="s">
        <v>15</v>
      </c>
      <c r="E119" s="14" t="s">
        <v>16</v>
      </c>
      <c r="F119" s="15">
        <v>43203</v>
      </c>
      <c r="G119" s="16">
        <v>1.65</v>
      </c>
      <c r="H119" s="15"/>
      <c r="I119" s="16"/>
      <c r="J119" s="15"/>
      <c r="K119" s="16"/>
      <c r="L119" s="15"/>
      <c r="M119" s="63"/>
      <c r="N119" s="17"/>
      <c r="O119" s="16"/>
      <c r="P119" s="18">
        <f t="shared" si="3"/>
        <v>1.65</v>
      </c>
    </row>
    <row r="120" spans="2:16" x14ac:dyDescent="0.25">
      <c r="B120" s="12" t="s">
        <v>205</v>
      </c>
      <c r="C120" s="13" t="s">
        <v>206</v>
      </c>
      <c r="D120" s="14" t="s">
        <v>15</v>
      </c>
      <c r="E120" s="14" t="s">
        <v>16</v>
      </c>
      <c r="F120" s="15">
        <v>43088</v>
      </c>
      <c r="G120" s="16">
        <v>0.58399999999999996</v>
      </c>
      <c r="H120" s="15">
        <v>43284</v>
      </c>
      <c r="I120" s="16">
        <v>0.876</v>
      </c>
      <c r="J120" s="15">
        <v>43451</v>
      </c>
      <c r="K120" s="16">
        <v>0.61199999999999999</v>
      </c>
      <c r="L120" s="15"/>
      <c r="M120" s="63"/>
      <c r="N120" s="17"/>
      <c r="O120" s="16"/>
      <c r="P120" s="18">
        <f t="shared" si="3"/>
        <v>2.0720000000000001</v>
      </c>
    </row>
    <row r="121" spans="2:16" x14ac:dyDescent="0.25">
      <c r="B121" s="12" t="s">
        <v>207</v>
      </c>
      <c r="C121" s="13" t="s">
        <v>208</v>
      </c>
      <c r="D121" s="14" t="s">
        <v>15</v>
      </c>
      <c r="E121" s="14" t="s">
        <v>16</v>
      </c>
      <c r="F121" s="15">
        <v>43097</v>
      </c>
      <c r="G121" s="16">
        <v>0.7</v>
      </c>
      <c r="H121" s="15">
        <v>43279</v>
      </c>
      <c r="I121" s="16">
        <v>0.68200000000000005</v>
      </c>
      <c r="J121" s="15"/>
      <c r="K121" s="16"/>
      <c r="L121" s="15"/>
      <c r="M121" s="63"/>
      <c r="N121" s="17"/>
      <c r="O121" s="16"/>
      <c r="P121" s="18">
        <f t="shared" si="3"/>
        <v>1.3820000000000001</v>
      </c>
    </row>
    <row r="122" spans="2:16" x14ac:dyDescent="0.25">
      <c r="B122" s="12" t="s">
        <v>209</v>
      </c>
      <c r="C122" s="13" t="s">
        <v>210</v>
      </c>
      <c r="D122" s="14" t="s">
        <v>15</v>
      </c>
      <c r="E122" s="14" t="s">
        <v>16</v>
      </c>
      <c r="F122" s="15">
        <v>43122</v>
      </c>
      <c r="G122" s="16">
        <v>0.105</v>
      </c>
      <c r="H122" s="15">
        <v>43304</v>
      </c>
      <c r="I122" s="16">
        <v>0.13200000000000001</v>
      </c>
      <c r="J122" s="15"/>
      <c r="K122" s="16"/>
      <c r="L122" s="15"/>
      <c r="M122" s="63"/>
      <c r="N122" s="17"/>
      <c r="O122" s="16"/>
      <c r="P122" s="18">
        <f t="shared" si="3"/>
        <v>0.23699999999999999</v>
      </c>
    </row>
    <row r="123" spans="2:16" x14ac:dyDescent="0.25">
      <c r="B123" s="12" t="s">
        <v>211</v>
      </c>
      <c r="C123" s="13" t="s">
        <v>212</v>
      </c>
      <c r="D123" s="14" t="s">
        <v>24</v>
      </c>
      <c r="E123" s="14" t="s">
        <v>16</v>
      </c>
      <c r="F123" s="15">
        <v>43242</v>
      </c>
      <c r="G123" s="16">
        <v>0.35</v>
      </c>
      <c r="H123" s="15">
        <v>43383</v>
      </c>
      <c r="I123" s="16">
        <v>0.37</v>
      </c>
      <c r="J123" s="15"/>
      <c r="K123" s="16"/>
      <c r="L123" s="15"/>
      <c r="M123" s="63"/>
      <c r="N123" s="17"/>
      <c r="O123" s="16"/>
      <c r="P123" s="18">
        <f t="shared" si="3"/>
        <v>0.72</v>
      </c>
    </row>
    <row r="124" spans="2:16" x14ac:dyDescent="0.25">
      <c r="B124" s="12" t="s">
        <v>213</v>
      </c>
      <c r="C124" s="13" t="s">
        <v>214</v>
      </c>
      <c r="D124" s="14" t="s">
        <v>15</v>
      </c>
      <c r="E124" s="14" t="s">
        <v>16</v>
      </c>
      <c r="F124" s="15">
        <v>43241</v>
      </c>
      <c r="G124" s="16">
        <v>0.4</v>
      </c>
      <c r="H124" s="15">
        <v>43367</v>
      </c>
      <c r="I124" s="16">
        <v>0.42</v>
      </c>
      <c r="J124" s="15"/>
      <c r="K124" s="16"/>
      <c r="L124" s="15"/>
      <c r="M124" s="63"/>
      <c r="N124" s="17"/>
      <c r="O124" s="16"/>
      <c r="P124" s="18">
        <f t="shared" si="3"/>
        <v>0.82000000000000006</v>
      </c>
    </row>
    <row r="125" spans="2:16" x14ac:dyDescent="0.25">
      <c r="B125" s="12" t="s">
        <v>215</v>
      </c>
      <c r="C125" s="13" t="s">
        <v>216</v>
      </c>
      <c r="D125" s="14" t="s">
        <v>15</v>
      </c>
      <c r="E125" s="14" t="s">
        <v>200</v>
      </c>
      <c r="F125" s="15">
        <v>43188</v>
      </c>
      <c r="G125" s="16">
        <v>1</v>
      </c>
      <c r="H125" s="15"/>
      <c r="I125" s="16"/>
      <c r="J125" s="15"/>
      <c r="K125" s="16"/>
      <c r="L125" s="15"/>
      <c r="M125" s="63"/>
      <c r="N125" s="17"/>
      <c r="O125" s="16"/>
      <c r="P125" s="18">
        <f t="shared" si="3"/>
        <v>1</v>
      </c>
    </row>
    <row r="126" spans="2:16" x14ac:dyDescent="0.25">
      <c r="B126" s="12" t="s">
        <v>632</v>
      </c>
      <c r="C126" s="13" t="s">
        <v>218</v>
      </c>
      <c r="D126" s="14" t="s">
        <v>24</v>
      </c>
      <c r="E126" s="14" t="s">
        <v>16</v>
      </c>
      <c r="F126" s="15">
        <v>43216</v>
      </c>
      <c r="G126" s="16">
        <v>1.53</v>
      </c>
      <c r="H126" s="15"/>
      <c r="I126" s="16"/>
      <c r="J126" s="15"/>
      <c r="K126" s="16"/>
      <c r="L126" s="15"/>
      <c r="M126" s="63"/>
      <c r="N126" s="17"/>
      <c r="O126" s="16"/>
      <c r="P126" s="18">
        <f t="shared" si="3"/>
        <v>1.53</v>
      </c>
    </row>
    <row r="127" spans="2:16" x14ac:dyDescent="0.25">
      <c r="B127" s="12" t="s">
        <v>219</v>
      </c>
      <c r="C127" s="13" t="s">
        <v>220</v>
      </c>
      <c r="D127" s="14" t="s">
        <v>24</v>
      </c>
      <c r="E127" s="14" t="s">
        <v>16</v>
      </c>
      <c r="F127" s="15">
        <v>43424</v>
      </c>
      <c r="G127" s="16">
        <v>1.27</v>
      </c>
      <c r="H127" s="15"/>
      <c r="I127" s="16"/>
      <c r="J127" s="15"/>
      <c r="K127" s="16"/>
      <c r="L127" s="15"/>
      <c r="M127" s="63"/>
      <c r="N127" s="17"/>
      <c r="O127" s="16"/>
      <c r="P127" s="18">
        <f t="shared" si="3"/>
        <v>1.27</v>
      </c>
    </row>
    <row r="128" spans="2:16" x14ac:dyDescent="0.25">
      <c r="B128" s="12" t="s">
        <v>621</v>
      </c>
      <c r="C128" s="13" t="s">
        <v>450</v>
      </c>
      <c r="D128" s="14" t="s">
        <v>15</v>
      </c>
      <c r="E128" s="14" t="s">
        <v>56</v>
      </c>
      <c r="F128" s="15">
        <v>43139</v>
      </c>
      <c r="G128" s="16">
        <v>0.22009999999999999</v>
      </c>
      <c r="H128" s="15">
        <v>43236</v>
      </c>
      <c r="I128" s="16">
        <v>0.23</v>
      </c>
      <c r="J128" s="15">
        <v>43333</v>
      </c>
      <c r="K128" s="16">
        <v>0.23</v>
      </c>
      <c r="L128" s="15">
        <v>43425</v>
      </c>
      <c r="M128" s="63">
        <v>0.18</v>
      </c>
      <c r="N128" s="17"/>
      <c r="O128" s="16"/>
      <c r="P128" s="18">
        <f>G128+I128+K128+M128+O128</f>
        <v>0.86010000000000009</v>
      </c>
    </row>
    <row r="129" spans="1:17" x14ac:dyDescent="0.25">
      <c r="B129" s="12" t="s">
        <v>221</v>
      </c>
      <c r="C129" s="13" t="s">
        <v>222</v>
      </c>
      <c r="D129" s="14" t="s">
        <v>15</v>
      </c>
      <c r="E129" s="14" t="s">
        <v>56</v>
      </c>
      <c r="F129" s="15">
        <v>43104</v>
      </c>
      <c r="G129" s="16">
        <v>0.13500000000000001</v>
      </c>
      <c r="H129" s="15">
        <v>43272</v>
      </c>
      <c r="I129" s="16">
        <v>0.3125</v>
      </c>
      <c r="J129" s="15"/>
      <c r="K129" s="16"/>
      <c r="L129" s="15"/>
      <c r="M129" s="63"/>
      <c r="N129" s="17"/>
      <c r="O129" s="16"/>
      <c r="P129" s="18">
        <f t="shared" si="3"/>
        <v>0.44750000000000001</v>
      </c>
    </row>
    <row r="130" spans="1:17" x14ac:dyDescent="0.25">
      <c r="B130" s="19" t="s">
        <v>223</v>
      </c>
      <c r="C130" s="20" t="s">
        <v>224</v>
      </c>
      <c r="D130" s="21" t="s">
        <v>55</v>
      </c>
      <c r="E130" s="22" t="s">
        <v>56</v>
      </c>
      <c r="F130" s="23">
        <v>43140</v>
      </c>
      <c r="G130" s="24">
        <v>0.77</v>
      </c>
      <c r="H130" s="23">
        <v>43231</v>
      </c>
      <c r="I130" s="24">
        <v>0.82</v>
      </c>
      <c r="J130" s="23">
        <v>43322</v>
      </c>
      <c r="K130" s="24">
        <v>0.82</v>
      </c>
      <c r="L130" s="23">
        <v>43413</v>
      </c>
      <c r="M130" s="24">
        <v>0.82</v>
      </c>
      <c r="N130" s="25"/>
      <c r="O130" s="24"/>
      <c r="P130" s="26">
        <f t="shared" si="3"/>
        <v>3.2299999999999995</v>
      </c>
    </row>
    <row r="131" spans="1:17" x14ac:dyDescent="0.25">
      <c r="B131" s="12" t="s">
        <v>225</v>
      </c>
      <c r="C131" s="13" t="s">
        <v>226</v>
      </c>
      <c r="D131" s="14" t="s">
        <v>15</v>
      </c>
      <c r="E131" s="14" t="s">
        <v>16</v>
      </c>
      <c r="F131" s="15">
        <v>43237</v>
      </c>
      <c r="G131" s="16">
        <v>0.3135</v>
      </c>
      <c r="H131" s="15">
        <v>43410</v>
      </c>
      <c r="I131" s="16">
        <v>0.40679999999999999</v>
      </c>
      <c r="J131" s="15"/>
      <c r="K131" s="16"/>
      <c r="L131" s="15"/>
      <c r="M131" s="63"/>
      <c r="N131" s="17"/>
      <c r="O131" s="16"/>
      <c r="P131" s="18">
        <f t="shared" si="3"/>
        <v>0.72029999999999994</v>
      </c>
    </row>
    <row r="132" spans="1:17" x14ac:dyDescent="0.25">
      <c r="B132" s="12" t="s">
        <v>628</v>
      </c>
      <c r="C132" s="13" t="s">
        <v>629</v>
      </c>
      <c r="D132" s="14" t="s">
        <v>15</v>
      </c>
      <c r="E132" s="14" t="s">
        <v>16</v>
      </c>
      <c r="F132" s="15"/>
      <c r="G132" s="16"/>
      <c r="H132" s="15"/>
      <c r="I132" s="16"/>
      <c r="J132" s="15"/>
      <c r="K132" s="16"/>
      <c r="L132" s="15"/>
      <c r="M132" s="63"/>
      <c r="N132" s="17"/>
      <c r="O132" s="16"/>
      <c r="P132" s="18">
        <f t="shared" si="3"/>
        <v>0</v>
      </c>
    </row>
    <row r="133" spans="1:17" x14ac:dyDescent="0.25">
      <c r="B133" s="19" t="s">
        <v>227</v>
      </c>
      <c r="C133" s="20" t="s">
        <v>228</v>
      </c>
      <c r="D133" s="21" t="s">
        <v>55</v>
      </c>
      <c r="E133" s="22" t="s">
        <v>56</v>
      </c>
      <c r="F133" s="23">
        <v>43129</v>
      </c>
      <c r="G133" s="24">
        <v>0.14829999999999999</v>
      </c>
      <c r="H133" s="23">
        <v>43209</v>
      </c>
      <c r="I133" s="24">
        <v>0.15</v>
      </c>
      <c r="J133" s="23">
        <v>43301</v>
      </c>
      <c r="K133" s="24">
        <v>0.15</v>
      </c>
      <c r="L133" s="23">
        <v>43395</v>
      </c>
      <c r="M133" s="77">
        <v>0.15</v>
      </c>
      <c r="N133" s="25"/>
      <c r="O133" s="24"/>
      <c r="P133" s="26">
        <f t="shared" si="3"/>
        <v>0.59830000000000005</v>
      </c>
    </row>
    <row r="134" spans="1:17" x14ac:dyDescent="0.25">
      <c r="B134" s="12" t="s">
        <v>229</v>
      </c>
      <c r="C134" s="13" t="s">
        <v>230</v>
      </c>
      <c r="D134" s="14" t="s">
        <v>15</v>
      </c>
      <c r="E134" s="14" t="s">
        <v>16</v>
      </c>
      <c r="F134" s="15">
        <v>43188</v>
      </c>
      <c r="G134" s="16">
        <v>1.1000000000000001</v>
      </c>
      <c r="H134" s="15"/>
      <c r="I134" s="16"/>
      <c r="J134" s="15"/>
      <c r="K134" s="16"/>
      <c r="L134" s="15"/>
      <c r="M134" s="63"/>
      <c r="N134" s="17"/>
      <c r="O134" s="16"/>
      <c r="P134" s="18">
        <f t="shared" si="3"/>
        <v>1.1000000000000001</v>
      </c>
    </row>
    <row r="135" spans="1:17" x14ac:dyDescent="0.25">
      <c r="A135" s="33"/>
      <c r="B135" s="37" t="s">
        <v>231</v>
      </c>
      <c r="C135" s="13" t="s">
        <v>232</v>
      </c>
      <c r="D135" s="14" t="s">
        <v>15</v>
      </c>
      <c r="E135" s="14" t="s">
        <v>16</v>
      </c>
      <c r="F135" s="15">
        <v>43241</v>
      </c>
      <c r="G135" s="16">
        <v>0.75</v>
      </c>
      <c r="H135" s="15"/>
      <c r="I135" s="16"/>
      <c r="J135" s="15"/>
      <c r="K135" s="16"/>
      <c r="L135" s="15"/>
      <c r="M135" s="63"/>
      <c r="N135" s="17"/>
      <c r="O135" s="16"/>
      <c r="P135" s="18">
        <f t="shared" si="3"/>
        <v>0.75</v>
      </c>
      <c r="Q135" s="36"/>
    </row>
    <row r="136" spans="1:17" x14ac:dyDescent="0.25">
      <c r="A136" s="33"/>
      <c r="B136" s="37" t="s">
        <v>233</v>
      </c>
      <c r="C136" s="13" t="s">
        <v>234</v>
      </c>
      <c r="D136" s="14" t="s">
        <v>15</v>
      </c>
      <c r="E136" s="14" t="s">
        <v>16</v>
      </c>
      <c r="F136" s="15"/>
      <c r="G136" s="16"/>
      <c r="H136" s="15"/>
      <c r="I136" s="16"/>
      <c r="J136" s="15"/>
      <c r="K136" s="16"/>
      <c r="L136" s="15"/>
      <c r="M136" s="63"/>
      <c r="N136" s="17"/>
      <c r="O136" s="16"/>
      <c r="P136" s="18">
        <f t="shared" si="3"/>
        <v>0</v>
      </c>
      <c r="Q136" s="36"/>
    </row>
    <row r="137" spans="1:17" x14ac:dyDescent="0.25">
      <c r="A137" s="33"/>
      <c r="B137" s="37" t="s">
        <v>235</v>
      </c>
      <c r="C137" s="13" t="s">
        <v>236</v>
      </c>
      <c r="D137" s="14" t="s">
        <v>237</v>
      </c>
      <c r="E137" s="14" t="s">
        <v>16</v>
      </c>
      <c r="F137" s="15">
        <v>43248</v>
      </c>
      <c r="G137" s="16">
        <v>0.3</v>
      </c>
      <c r="H137" s="15">
        <v>43361</v>
      </c>
      <c r="I137" s="16">
        <v>0.27500000000000002</v>
      </c>
      <c r="J137" s="15"/>
      <c r="K137" s="16"/>
      <c r="L137" s="15"/>
      <c r="M137" s="63"/>
      <c r="N137" s="17"/>
      <c r="O137" s="16"/>
      <c r="P137" s="18">
        <f t="shared" si="3"/>
        <v>0.57499999999999996</v>
      </c>
      <c r="Q137" s="36"/>
    </row>
    <row r="138" spans="1:17" x14ac:dyDescent="0.25">
      <c r="A138" s="33"/>
      <c r="B138" s="37" t="s">
        <v>623</v>
      </c>
      <c r="C138" s="13" t="s">
        <v>239</v>
      </c>
      <c r="D138" s="14" t="s">
        <v>15</v>
      </c>
      <c r="E138" s="14" t="s">
        <v>16</v>
      </c>
      <c r="F138" s="15">
        <v>43284</v>
      </c>
      <c r="G138" s="16">
        <v>0.67</v>
      </c>
      <c r="H138" s="15">
        <v>43308</v>
      </c>
      <c r="I138" s="16">
        <v>0.28000000000000003</v>
      </c>
      <c r="J138" s="15">
        <v>43427</v>
      </c>
      <c r="K138" s="16">
        <v>0.45</v>
      </c>
      <c r="L138" s="15"/>
      <c r="M138" s="63"/>
      <c r="N138" s="17"/>
      <c r="O138" s="16"/>
      <c r="P138" s="18">
        <f t="shared" si="3"/>
        <v>1.4000000000000001</v>
      </c>
      <c r="Q138" s="36"/>
    </row>
    <row r="139" spans="1:17" x14ac:dyDescent="0.25">
      <c r="A139" s="33"/>
      <c r="B139" s="37" t="s">
        <v>242</v>
      </c>
      <c r="C139" s="13" t="s">
        <v>243</v>
      </c>
      <c r="D139" s="14" t="s">
        <v>15</v>
      </c>
      <c r="E139" s="14" t="s">
        <v>21</v>
      </c>
      <c r="F139" s="15">
        <v>43196</v>
      </c>
      <c r="G139" s="16">
        <v>10.4</v>
      </c>
      <c r="H139" s="15"/>
      <c r="I139" s="16"/>
      <c r="J139" s="15"/>
      <c r="K139" s="16"/>
      <c r="L139" s="15"/>
      <c r="M139" s="63"/>
      <c r="N139" s="17"/>
      <c r="O139" s="16"/>
      <c r="P139" s="18">
        <f t="shared" si="3"/>
        <v>10.4</v>
      </c>
      <c r="Q139" s="36"/>
    </row>
    <row r="140" spans="1:17" x14ac:dyDescent="0.25">
      <c r="B140" s="12" t="s">
        <v>244</v>
      </c>
      <c r="C140" s="13" t="s">
        <v>245</v>
      </c>
      <c r="D140" s="14" t="s">
        <v>15</v>
      </c>
      <c r="E140" s="14" t="s">
        <v>16</v>
      </c>
      <c r="F140" s="15"/>
      <c r="G140" s="16"/>
      <c r="H140" s="15"/>
      <c r="I140" s="16"/>
      <c r="J140" s="15"/>
      <c r="K140" s="16"/>
      <c r="L140" s="15"/>
      <c r="M140" s="63"/>
      <c r="N140" s="17"/>
      <c r="O140" s="16"/>
      <c r="P140" s="18">
        <f t="shared" si="3"/>
        <v>0</v>
      </c>
    </row>
    <row r="141" spans="1:17" x14ac:dyDescent="0.25">
      <c r="A141" s="33"/>
      <c r="B141" s="38" t="s">
        <v>240</v>
      </c>
      <c r="C141" s="20" t="s">
        <v>241</v>
      </c>
      <c r="D141" s="21" t="s">
        <v>55</v>
      </c>
      <c r="E141" s="22" t="s">
        <v>56</v>
      </c>
      <c r="F141" s="23">
        <v>43154</v>
      </c>
      <c r="G141" s="24">
        <v>0.12</v>
      </c>
      <c r="H141" s="23">
        <v>43266</v>
      </c>
      <c r="I141" s="24">
        <v>0.12</v>
      </c>
      <c r="J141" s="23">
        <v>43357</v>
      </c>
      <c r="K141" s="24">
        <v>0.12</v>
      </c>
      <c r="L141" s="23">
        <v>43453</v>
      </c>
      <c r="M141" s="77">
        <v>0.01</v>
      </c>
      <c r="N141" s="25"/>
      <c r="O141" s="24"/>
      <c r="P141" s="26">
        <f t="shared" si="3"/>
        <v>0.37</v>
      </c>
      <c r="Q141" s="36"/>
    </row>
    <row r="142" spans="1:17" x14ac:dyDescent="0.25">
      <c r="B142" s="19" t="s">
        <v>246</v>
      </c>
      <c r="C142" s="20" t="s">
        <v>247</v>
      </c>
      <c r="D142" s="21" t="s">
        <v>55</v>
      </c>
      <c r="E142" s="22" t="s">
        <v>56</v>
      </c>
      <c r="F142" s="23">
        <v>43167</v>
      </c>
      <c r="G142" s="24">
        <v>0.38</v>
      </c>
      <c r="H142" s="23">
        <v>43258</v>
      </c>
      <c r="I142" s="24">
        <v>0.38</v>
      </c>
      <c r="J142" s="23">
        <v>43349</v>
      </c>
      <c r="K142" s="24">
        <v>0.38</v>
      </c>
      <c r="L142" s="23">
        <v>43440</v>
      </c>
      <c r="M142" s="77">
        <v>0.38</v>
      </c>
      <c r="N142" s="25"/>
      <c r="O142" s="24"/>
      <c r="P142" s="26">
        <f t="shared" si="3"/>
        <v>1.52</v>
      </c>
    </row>
    <row r="143" spans="1:17" x14ac:dyDescent="0.25">
      <c r="B143" s="19" t="s">
        <v>567</v>
      </c>
      <c r="C143" s="20" t="s">
        <v>594</v>
      </c>
      <c r="D143" s="21" t="s">
        <v>55</v>
      </c>
      <c r="E143" s="22" t="s">
        <v>56</v>
      </c>
      <c r="F143" s="23">
        <v>43174</v>
      </c>
      <c r="G143" s="24">
        <v>0.56999999999999995</v>
      </c>
      <c r="H143" s="23">
        <v>43265</v>
      </c>
      <c r="I143" s="24">
        <v>0.56999999999999995</v>
      </c>
      <c r="J143" s="23">
        <v>43356</v>
      </c>
      <c r="K143" s="24">
        <v>0.56999999999999995</v>
      </c>
      <c r="L143" s="23">
        <v>43447</v>
      </c>
      <c r="M143" s="77">
        <v>0.56999999999999995</v>
      </c>
      <c r="N143" s="25"/>
      <c r="O143" s="24"/>
      <c r="P143" s="26">
        <f t="shared" si="3"/>
        <v>2.2799999999999998</v>
      </c>
    </row>
    <row r="144" spans="1:17" x14ac:dyDescent="0.25">
      <c r="B144" s="12" t="s">
        <v>248</v>
      </c>
      <c r="C144" s="13" t="s">
        <v>249</v>
      </c>
      <c r="D144" s="14" t="s">
        <v>15</v>
      </c>
      <c r="E144" s="14" t="s">
        <v>21</v>
      </c>
      <c r="F144" s="15">
        <v>43185</v>
      </c>
      <c r="G144" s="16">
        <v>58</v>
      </c>
      <c r="H144" s="15"/>
      <c r="I144" s="16"/>
      <c r="J144" s="15"/>
      <c r="K144" s="16"/>
      <c r="L144" s="15"/>
      <c r="M144" s="63"/>
      <c r="N144" s="17"/>
      <c r="O144" s="16"/>
      <c r="P144" s="18">
        <f t="shared" si="3"/>
        <v>58</v>
      </c>
    </row>
    <row r="145" spans="2:16" x14ac:dyDescent="0.25">
      <c r="B145" s="12" t="s">
        <v>250</v>
      </c>
      <c r="C145" s="13" t="s">
        <v>251</v>
      </c>
      <c r="D145" s="14" t="s">
        <v>15</v>
      </c>
      <c r="E145" s="14" t="s">
        <v>77</v>
      </c>
      <c r="F145" s="15">
        <v>43153</v>
      </c>
      <c r="G145" s="28">
        <v>23</v>
      </c>
      <c r="H145" s="15">
        <v>43230</v>
      </c>
      <c r="I145" s="16">
        <v>19</v>
      </c>
      <c r="J145" s="15">
        <v>43321</v>
      </c>
      <c r="K145" s="16">
        <v>19</v>
      </c>
      <c r="L145" s="15">
        <v>43419</v>
      </c>
      <c r="M145" s="16">
        <v>19</v>
      </c>
      <c r="N145" s="17"/>
      <c r="O145" s="16"/>
      <c r="P145" s="18">
        <f t="shared" si="3"/>
        <v>80</v>
      </c>
    </row>
    <row r="146" spans="2:16" x14ac:dyDescent="0.25">
      <c r="B146" s="12" t="s">
        <v>252</v>
      </c>
      <c r="C146" s="13" t="s">
        <v>253</v>
      </c>
      <c r="D146" s="14" t="s">
        <v>15</v>
      </c>
      <c r="E146" s="14" t="s">
        <v>56</v>
      </c>
      <c r="F146" s="15">
        <v>43216</v>
      </c>
      <c r="G146" s="16">
        <v>0.1</v>
      </c>
      <c r="H146" s="15">
        <v>43349</v>
      </c>
      <c r="I146" s="16">
        <v>0.1</v>
      </c>
      <c r="J146" s="15"/>
      <c r="K146" s="16"/>
      <c r="L146" s="15"/>
      <c r="M146" s="63"/>
      <c r="N146" s="17"/>
      <c r="O146" s="16"/>
      <c r="P146" s="18">
        <f t="shared" si="3"/>
        <v>0.2</v>
      </c>
    </row>
    <row r="147" spans="2:16" x14ac:dyDescent="0.25">
      <c r="B147" s="19" t="s">
        <v>570</v>
      </c>
      <c r="C147" s="20" t="s">
        <v>597</v>
      </c>
      <c r="D147" s="21" t="s">
        <v>55</v>
      </c>
      <c r="E147" s="22" t="s">
        <v>56</v>
      </c>
      <c r="F147" s="23">
        <v>43158</v>
      </c>
      <c r="G147" s="24">
        <v>0.75</v>
      </c>
      <c r="H147" s="23">
        <v>43250</v>
      </c>
      <c r="I147" s="24">
        <v>0.8</v>
      </c>
      <c r="J147" s="23">
        <v>43341</v>
      </c>
      <c r="K147" s="24">
        <v>0.8</v>
      </c>
      <c r="L147" s="23">
        <v>43433</v>
      </c>
      <c r="M147" s="77">
        <v>0.8</v>
      </c>
      <c r="N147" s="25"/>
      <c r="O147" s="24"/>
      <c r="P147" s="26">
        <f t="shared" ref="P147:P212" si="4">G147+I147+K147+M147+O147</f>
        <v>3.1500000000000004</v>
      </c>
    </row>
    <row r="148" spans="2:16" x14ac:dyDescent="0.25">
      <c r="B148" s="12" t="s">
        <v>254</v>
      </c>
      <c r="C148" s="13" t="s">
        <v>255</v>
      </c>
      <c r="D148" s="14" t="s">
        <v>27</v>
      </c>
      <c r="E148" s="14" t="s">
        <v>16</v>
      </c>
      <c r="F148" s="15">
        <v>43227</v>
      </c>
      <c r="G148" s="16">
        <v>3</v>
      </c>
      <c r="H148" s="15"/>
      <c r="I148" s="16"/>
      <c r="J148" s="15"/>
      <c r="K148" s="16"/>
      <c r="L148" s="15"/>
      <c r="M148" s="63"/>
      <c r="N148" s="17"/>
      <c r="O148" s="16"/>
      <c r="P148" s="18">
        <f t="shared" si="4"/>
        <v>3</v>
      </c>
    </row>
    <row r="149" spans="2:16" x14ac:dyDescent="0.25">
      <c r="B149" s="12" t="s">
        <v>256</v>
      </c>
      <c r="C149" s="13" t="s">
        <v>257</v>
      </c>
      <c r="D149" s="14" t="s">
        <v>15</v>
      </c>
      <c r="E149" s="14" t="s">
        <v>16</v>
      </c>
      <c r="F149" s="15">
        <v>43213</v>
      </c>
      <c r="G149" s="16">
        <v>0.93</v>
      </c>
      <c r="H149" s="15">
        <v>43313</v>
      </c>
      <c r="I149" s="16">
        <v>0.59</v>
      </c>
      <c r="J149" s="15"/>
      <c r="K149" s="16"/>
      <c r="L149" s="15"/>
      <c r="M149" s="63"/>
      <c r="N149" s="17"/>
      <c r="O149" s="16"/>
      <c r="P149" s="18">
        <f t="shared" si="4"/>
        <v>1.52</v>
      </c>
    </row>
    <row r="150" spans="2:16" x14ac:dyDescent="0.25">
      <c r="B150" s="12" t="s">
        <v>258</v>
      </c>
      <c r="C150" s="13" t="s">
        <v>259</v>
      </c>
      <c r="D150" s="14" t="s">
        <v>15</v>
      </c>
      <c r="E150" s="14" t="s">
        <v>16</v>
      </c>
      <c r="F150" s="15">
        <v>43200</v>
      </c>
      <c r="G150" s="16">
        <v>1.79</v>
      </c>
      <c r="H150" s="15"/>
      <c r="I150" s="16"/>
      <c r="J150" s="15"/>
      <c r="K150" s="16"/>
      <c r="L150" s="15"/>
      <c r="M150" s="63"/>
      <c r="N150" s="17"/>
      <c r="O150" s="16"/>
      <c r="P150" s="18">
        <f t="shared" si="4"/>
        <v>1.79</v>
      </c>
    </row>
    <row r="151" spans="2:16" x14ac:dyDescent="0.25">
      <c r="B151" s="12" t="s">
        <v>260</v>
      </c>
      <c r="C151" s="13" t="s">
        <v>261</v>
      </c>
      <c r="D151" s="14" t="s">
        <v>15</v>
      </c>
      <c r="E151" s="14" t="s">
        <v>200</v>
      </c>
      <c r="F151" s="15">
        <v>43229</v>
      </c>
      <c r="G151" s="16">
        <v>4.9000000000000004</v>
      </c>
      <c r="H151" s="15">
        <v>43416</v>
      </c>
      <c r="I151" s="16">
        <v>4.8499999999999996</v>
      </c>
      <c r="J151" s="15"/>
      <c r="K151" s="16"/>
      <c r="L151" s="15"/>
      <c r="M151" s="63"/>
      <c r="N151" s="17"/>
      <c r="O151" s="16"/>
      <c r="P151" s="18">
        <f t="shared" si="4"/>
        <v>9.75</v>
      </c>
    </row>
    <row r="152" spans="2:16" x14ac:dyDescent="0.25">
      <c r="B152" s="12" t="s">
        <v>626</v>
      </c>
      <c r="C152" s="13" t="s">
        <v>627</v>
      </c>
      <c r="D152" s="14" t="s">
        <v>24</v>
      </c>
      <c r="E152" s="14" t="s">
        <v>16</v>
      </c>
      <c r="F152" s="29">
        <v>43151</v>
      </c>
      <c r="G152" s="71">
        <v>1.48736523</v>
      </c>
      <c r="H152" s="29">
        <v>43258</v>
      </c>
      <c r="I152" s="71">
        <v>2.5780997320000001</v>
      </c>
      <c r="J152" s="15"/>
      <c r="K152" s="16"/>
      <c r="L152" s="15"/>
      <c r="M152" s="63"/>
      <c r="N152" s="17"/>
      <c r="O152" s="16"/>
      <c r="P152" s="18">
        <f>G152+I152+K152+M152+O152</f>
        <v>4.0654649620000001</v>
      </c>
    </row>
    <row r="153" spans="2:16" x14ac:dyDescent="0.25">
      <c r="B153" s="19" t="s">
        <v>262</v>
      </c>
      <c r="C153" s="20" t="s">
        <v>263</v>
      </c>
      <c r="D153" s="21" t="s">
        <v>55</v>
      </c>
      <c r="E153" s="22" t="s">
        <v>56</v>
      </c>
      <c r="F153" s="23">
        <v>43166</v>
      </c>
      <c r="G153" s="24">
        <v>1.03</v>
      </c>
      <c r="H153" s="23">
        <v>43250</v>
      </c>
      <c r="I153" s="24">
        <v>1.03</v>
      </c>
      <c r="J153" s="23">
        <v>43341</v>
      </c>
      <c r="K153" s="24">
        <v>1.03</v>
      </c>
      <c r="L153" s="23">
        <v>43432</v>
      </c>
      <c r="M153" s="77">
        <v>1.03</v>
      </c>
      <c r="N153" s="25"/>
      <c r="O153" s="24"/>
      <c r="P153" s="26">
        <f t="shared" si="4"/>
        <v>4.12</v>
      </c>
    </row>
    <row r="154" spans="2:16" x14ac:dyDescent="0.25">
      <c r="B154" s="12" t="s">
        <v>264</v>
      </c>
      <c r="C154" s="13" t="s">
        <v>265</v>
      </c>
      <c r="D154" s="14" t="s">
        <v>15</v>
      </c>
      <c r="E154" s="14" t="s">
        <v>56</v>
      </c>
      <c r="F154" s="15">
        <v>43153</v>
      </c>
      <c r="G154" s="16">
        <v>0.21</v>
      </c>
      <c r="H154" s="15">
        <v>43237</v>
      </c>
      <c r="I154" s="16">
        <v>0.1</v>
      </c>
      <c r="J154" s="15">
        <v>43328</v>
      </c>
      <c r="K154" s="16">
        <v>0.1</v>
      </c>
      <c r="L154" s="15">
        <v>43384</v>
      </c>
      <c r="M154" s="16">
        <v>0.1</v>
      </c>
      <c r="N154" s="17"/>
      <c r="O154" s="16"/>
      <c r="P154" s="18">
        <f t="shared" si="4"/>
        <v>0.51</v>
      </c>
    </row>
    <row r="155" spans="2:16" x14ac:dyDescent="0.25">
      <c r="B155" s="12" t="s">
        <v>266</v>
      </c>
      <c r="C155" s="13" t="s">
        <v>267</v>
      </c>
      <c r="D155" s="14" t="s">
        <v>15</v>
      </c>
      <c r="E155" s="14" t="s">
        <v>16</v>
      </c>
      <c r="F155" s="15">
        <v>43111</v>
      </c>
      <c r="G155" s="16">
        <v>0.14000000000000001</v>
      </c>
      <c r="H155" s="15">
        <v>43290</v>
      </c>
      <c r="I155" s="16">
        <v>0.186</v>
      </c>
      <c r="J155" s="15"/>
      <c r="K155" s="16"/>
      <c r="L155" s="15"/>
      <c r="M155" s="63"/>
      <c r="N155" s="17"/>
      <c r="O155" s="16"/>
      <c r="P155" s="18">
        <f t="shared" si="4"/>
        <v>0.32600000000000001</v>
      </c>
    </row>
    <row r="156" spans="2:16" x14ac:dyDescent="0.25">
      <c r="B156" s="19" t="s">
        <v>553</v>
      </c>
      <c r="C156" s="20" t="s">
        <v>580</v>
      </c>
      <c r="D156" s="21" t="s">
        <v>55</v>
      </c>
      <c r="E156" s="22" t="s">
        <v>56</v>
      </c>
      <c r="F156" s="23">
        <v>43139</v>
      </c>
      <c r="G156" s="24">
        <v>1.5</v>
      </c>
      <c r="H156" s="23">
        <v>43229</v>
      </c>
      <c r="I156" s="24">
        <v>1.57</v>
      </c>
      <c r="J156" s="23">
        <v>43321</v>
      </c>
      <c r="K156" s="24">
        <v>1.57</v>
      </c>
      <c r="L156" s="23">
        <v>43412</v>
      </c>
      <c r="M156" s="24">
        <v>1.57</v>
      </c>
      <c r="N156" s="25"/>
      <c r="O156" s="24"/>
      <c r="P156" s="26">
        <f t="shared" si="4"/>
        <v>6.2100000000000009</v>
      </c>
    </row>
    <row r="157" spans="2:16" x14ac:dyDescent="0.25">
      <c r="B157" s="12" t="s">
        <v>268</v>
      </c>
      <c r="C157" s="13" t="s">
        <v>269</v>
      </c>
      <c r="D157" s="14" t="s">
        <v>15</v>
      </c>
      <c r="E157" s="14" t="s">
        <v>77</v>
      </c>
      <c r="F157" s="15">
        <v>43153</v>
      </c>
      <c r="G157" s="16">
        <v>59.51</v>
      </c>
      <c r="H157" s="15">
        <v>43244</v>
      </c>
      <c r="I157" s="16">
        <v>28.434999999999999</v>
      </c>
      <c r="J157" s="15">
        <v>43335</v>
      </c>
      <c r="K157" s="16">
        <v>28.434999999999999</v>
      </c>
      <c r="L157" s="15">
        <v>43426</v>
      </c>
      <c r="M157" s="63">
        <v>65.459999999999994</v>
      </c>
      <c r="N157" s="17"/>
      <c r="O157" s="16"/>
      <c r="P157" s="18">
        <f t="shared" si="4"/>
        <v>181.83999999999997</v>
      </c>
    </row>
    <row r="158" spans="2:16" x14ac:dyDescent="0.25">
      <c r="B158" s="12" t="s">
        <v>270</v>
      </c>
      <c r="C158" s="13" t="s">
        <v>271</v>
      </c>
      <c r="D158" s="14" t="s">
        <v>15</v>
      </c>
      <c r="E158" s="14" t="s">
        <v>16</v>
      </c>
      <c r="F158" s="29">
        <v>43217</v>
      </c>
      <c r="G158" s="71">
        <f>0.375*0.99159496</f>
        <v>0.37184811000000001</v>
      </c>
      <c r="H158" s="29">
        <v>43404</v>
      </c>
      <c r="I158" s="71">
        <f>0.165*0.99159496</f>
        <v>0.16361316840000001</v>
      </c>
      <c r="J158" s="15"/>
      <c r="K158" s="16"/>
      <c r="L158" s="15"/>
      <c r="M158" s="63"/>
      <c r="N158" s="17"/>
      <c r="O158" s="16"/>
      <c r="P158" s="18">
        <f t="shared" si="4"/>
        <v>0.53546127840000002</v>
      </c>
    </row>
    <row r="159" spans="2:16" x14ac:dyDescent="0.25">
      <c r="B159" s="12" t="s">
        <v>619</v>
      </c>
      <c r="C159" s="13" t="s">
        <v>272</v>
      </c>
      <c r="D159" s="14" t="s">
        <v>15</v>
      </c>
      <c r="E159" s="14" t="s">
        <v>16</v>
      </c>
      <c r="F159" s="29">
        <v>43217</v>
      </c>
      <c r="G159" s="71">
        <v>0.37184811000000001</v>
      </c>
      <c r="H159" s="29">
        <v>43404</v>
      </c>
      <c r="I159" s="71">
        <v>0.16361316840000001</v>
      </c>
      <c r="J159" s="15"/>
      <c r="K159" s="16"/>
      <c r="L159" s="15"/>
      <c r="M159" s="63"/>
      <c r="N159" s="17"/>
      <c r="O159" s="16"/>
      <c r="P159" s="18">
        <f t="shared" si="4"/>
        <v>0.53546127840000002</v>
      </c>
    </row>
    <row r="160" spans="2:16" x14ac:dyDescent="0.25">
      <c r="B160" s="12" t="s">
        <v>619</v>
      </c>
      <c r="C160" s="13" t="s">
        <v>613</v>
      </c>
      <c r="D160" s="14" t="s">
        <v>15</v>
      </c>
      <c r="E160" s="14" t="s">
        <v>16</v>
      </c>
      <c r="F160" s="29">
        <v>43217</v>
      </c>
      <c r="G160" s="71">
        <v>0.37184811000000001</v>
      </c>
      <c r="H160" s="29">
        <v>43404</v>
      </c>
      <c r="I160" s="71">
        <v>0.16361316840000001</v>
      </c>
      <c r="J160" s="15"/>
      <c r="K160" s="16"/>
      <c r="L160" s="15"/>
      <c r="M160" s="63"/>
      <c r="N160" s="17"/>
      <c r="O160" s="16"/>
      <c r="P160" s="18">
        <f t="shared" ref="P160:P161" si="5">G160+I160+K160+M160+O160</f>
        <v>0.53546127840000002</v>
      </c>
    </row>
    <row r="161" spans="1:17" x14ac:dyDescent="0.25">
      <c r="B161" s="12" t="s">
        <v>619</v>
      </c>
      <c r="C161" s="13" t="s">
        <v>640</v>
      </c>
      <c r="D161" s="14" t="s">
        <v>15</v>
      </c>
      <c r="E161" s="14" t="s">
        <v>16</v>
      </c>
      <c r="F161" s="29">
        <v>43217</v>
      </c>
      <c r="G161" s="71">
        <v>0.37184811000000001</v>
      </c>
      <c r="H161" s="29">
        <v>43404</v>
      </c>
      <c r="I161" s="71">
        <v>0.16361316840000001</v>
      </c>
      <c r="J161" s="15"/>
      <c r="K161" s="16"/>
      <c r="L161" s="15"/>
      <c r="M161" s="63"/>
      <c r="N161" s="17"/>
      <c r="O161" s="16"/>
      <c r="P161" s="18">
        <f t="shared" si="5"/>
        <v>0.53546127840000002</v>
      </c>
    </row>
    <row r="162" spans="1:17" x14ac:dyDescent="0.25">
      <c r="B162" s="12" t="s">
        <v>273</v>
      </c>
      <c r="C162" s="13" t="s">
        <v>274</v>
      </c>
      <c r="D162" s="14" t="s">
        <v>15</v>
      </c>
      <c r="E162" s="14" t="s">
        <v>16</v>
      </c>
      <c r="F162" s="15">
        <v>43215</v>
      </c>
      <c r="G162" s="16">
        <v>0.43</v>
      </c>
      <c r="H162" s="15">
        <v>43318</v>
      </c>
      <c r="I162" s="16">
        <v>0.24</v>
      </c>
      <c r="J162" s="15"/>
      <c r="K162" s="16"/>
      <c r="L162" s="15"/>
      <c r="M162" s="63"/>
      <c r="N162" s="17"/>
      <c r="O162" s="16"/>
      <c r="P162" s="18">
        <f t="shared" si="4"/>
        <v>0.66999999999999993</v>
      </c>
    </row>
    <row r="163" spans="1:17" x14ac:dyDescent="0.25">
      <c r="B163" s="19" t="s">
        <v>612</v>
      </c>
      <c r="C163" s="20" t="s">
        <v>275</v>
      </c>
      <c r="D163" s="21" t="s">
        <v>55</v>
      </c>
      <c r="E163" s="22" t="s">
        <v>56</v>
      </c>
      <c r="F163" s="23">
        <v>43137</v>
      </c>
      <c r="G163" s="24">
        <v>0.3</v>
      </c>
      <c r="H163" s="23">
        <v>43224</v>
      </c>
      <c r="I163" s="24">
        <v>0.3</v>
      </c>
      <c r="J163" s="23">
        <v>43318</v>
      </c>
      <c r="K163" s="24">
        <v>0.3</v>
      </c>
      <c r="L163" s="23">
        <v>43410</v>
      </c>
      <c r="M163" s="24">
        <v>0.3</v>
      </c>
      <c r="N163" s="25"/>
      <c r="O163" s="24"/>
      <c r="P163" s="26">
        <f t="shared" si="4"/>
        <v>1.2</v>
      </c>
    </row>
    <row r="164" spans="1:17" x14ac:dyDescent="0.25">
      <c r="B164" s="12" t="s">
        <v>276</v>
      </c>
      <c r="C164" s="13" t="s">
        <v>277</v>
      </c>
      <c r="D164" s="14" t="s">
        <v>15</v>
      </c>
      <c r="E164" s="14" t="s">
        <v>16</v>
      </c>
      <c r="F164" s="15">
        <v>43241</v>
      </c>
      <c r="G164" s="16">
        <v>0.20300000000000001</v>
      </c>
      <c r="H164" s="15"/>
      <c r="I164" s="16"/>
      <c r="J164" s="15"/>
      <c r="K164" s="16"/>
      <c r="L164" s="15"/>
      <c r="M164" s="63"/>
      <c r="N164" s="17"/>
      <c r="O164" s="16"/>
      <c r="P164" s="18">
        <f t="shared" si="4"/>
        <v>0.20300000000000001</v>
      </c>
    </row>
    <row r="165" spans="1:17" x14ac:dyDescent="0.25">
      <c r="B165" s="12" t="s">
        <v>278</v>
      </c>
      <c r="C165" s="13" t="s">
        <v>279</v>
      </c>
      <c r="D165" s="14" t="s">
        <v>15</v>
      </c>
      <c r="E165" s="14" t="s">
        <v>16</v>
      </c>
      <c r="F165" s="15">
        <v>43241</v>
      </c>
      <c r="G165" s="16">
        <v>0.20799999999999999</v>
      </c>
      <c r="H165" s="15"/>
      <c r="I165" s="16"/>
      <c r="J165" s="15"/>
      <c r="K165" s="16"/>
      <c r="L165" s="15"/>
      <c r="M165" s="63"/>
      <c r="N165" s="17"/>
      <c r="O165" s="16"/>
      <c r="P165" s="18">
        <f t="shared" si="4"/>
        <v>0.20799999999999999</v>
      </c>
    </row>
    <row r="166" spans="1:17" x14ac:dyDescent="0.25">
      <c r="B166" s="19" t="s">
        <v>280</v>
      </c>
      <c r="C166" s="20" t="s">
        <v>281</v>
      </c>
      <c r="D166" s="21" t="s">
        <v>55</v>
      </c>
      <c r="E166" s="22" t="s">
        <v>56</v>
      </c>
      <c r="F166" s="23">
        <v>43157</v>
      </c>
      <c r="G166" s="24">
        <v>0.84</v>
      </c>
      <c r="H166" s="23">
        <v>43245</v>
      </c>
      <c r="I166" s="24">
        <v>0.9</v>
      </c>
      <c r="J166" s="23">
        <v>43339</v>
      </c>
      <c r="K166" s="24">
        <v>0.9</v>
      </c>
      <c r="L166" s="23">
        <v>43430</v>
      </c>
      <c r="M166" s="77">
        <v>0.9</v>
      </c>
      <c r="N166" s="25"/>
      <c r="O166" s="24"/>
      <c r="P166" s="26">
        <f t="shared" si="4"/>
        <v>3.54</v>
      </c>
    </row>
    <row r="167" spans="1:17" x14ac:dyDescent="0.25">
      <c r="B167" s="19" t="s">
        <v>282</v>
      </c>
      <c r="C167" s="20" t="s">
        <v>283</v>
      </c>
      <c r="D167" s="21" t="s">
        <v>55</v>
      </c>
      <c r="E167" s="22" t="s">
        <v>56</v>
      </c>
      <c r="F167" s="23">
        <v>43195</v>
      </c>
      <c r="G167" s="24">
        <v>0.56000000000000005</v>
      </c>
      <c r="H167" s="23">
        <v>43286</v>
      </c>
      <c r="I167" s="24">
        <v>0.56000000000000005</v>
      </c>
      <c r="J167" s="23">
        <v>43377</v>
      </c>
      <c r="K167" s="24">
        <v>0.8</v>
      </c>
      <c r="L167" s="23">
        <v>43468</v>
      </c>
      <c r="M167" s="77">
        <v>0.8</v>
      </c>
      <c r="N167" s="25"/>
      <c r="O167" s="24"/>
      <c r="P167" s="26">
        <f t="shared" si="4"/>
        <v>2.72</v>
      </c>
    </row>
    <row r="168" spans="1:17" x14ac:dyDescent="0.25">
      <c r="B168" s="12" t="s">
        <v>284</v>
      </c>
      <c r="C168" s="13" t="s">
        <v>285</v>
      </c>
      <c r="D168" s="14" t="s">
        <v>15</v>
      </c>
      <c r="E168" s="14" t="s">
        <v>21</v>
      </c>
      <c r="F168" s="15">
        <v>43203</v>
      </c>
      <c r="G168" s="16">
        <v>1.4</v>
      </c>
      <c r="H168" s="15"/>
      <c r="I168" s="16"/>
      <c r="J168" s="15"/>
      <c r="K168" s="16"/>
      <c r="L168" s="15"/>
      <c r="M168" s="63"/>
      <c r="N168" s="17"/>
      <c r="O168" s="16"/>
      <c r="P168" s="18">
        <f t="shared" si="4"/>
        <v>1.4</v>
      </c>
    </row>
    <row r="169" spans="1:17" x14ac:dyDescent="0.25">
      <c r="B169" s="12" t="s">
        <v>286</v>
      </c>
      <c r="C169" s="13" t="s">
        <v>287</v>
      </c>
      <c r="D169" s="14" t="s">
        <v>15</v>
      </c>
      <c r="E169" s="14" t="s">
        <v>16</v>
      </c>
      <c r="F169" s="15">
        <v>43236</v>
      </c>
      <c r="G169" s="16">
        <v>0.35</v>
      </c>
      <c r="H169" s="15"/>
      <c r="I169" s="16"/>
      <c r="J169" s="15"/>
      <c r="K169" s="16"/>
      <c r="L169" s="15"/>
      <c r="M169" s="63"/>
      <c r="N169" s="17"/>
      <c r="O169" s="16"/>
      <c r="P169" s="18">
        <f t="shared" si="4"/>
        <v>0.35</v>
      </c>
    </row>
    <row r="170" spans="1:17" x14ac:dyDescent="0.25">
      <c r="B170" s="12" t="s">
        <v>288</v>
      </c>
      <c r="C170" s="13" t="s">
        <v>289</v>
      </c>
      <c r="D170" s="14" t="s">
        <v>27</v>
      </c>
      <c r="E170" s="14" t="s">
        <v>16</v>
      </c>
      <c r="F170" s="15">
        <v>43227</v>
      </c>
      <c r="G170" s="16">
        <v>2</v>
      </c>
      <c r="H170" s="15">
        <v>43418</v>
      </c>
      <c r="I170" s="16">
        <v>1</v>
      </c>
      <c r="J170" s="15"/>
      <c r="K170" s="16"/>
      <c r="L170" s="15"/>
      <c r="M170" s="63"/>
      <c r="N170" s="17"/>
      <c r="O170" s="16"/>
      <c r="P170" s="18">
        <f t="shared" si="4"/>
        <v>3</v>
      </c>
    </row>
    <row r="171" spans="1:17" x14ac:dyDescent="0.25">
      <c r="B171" s="12" t="s">
        <v>290</v>
      </c>
      <c r="C171" s="13" t="s">
        <v>291</v>
      </c>
      <c r="D171" s="14" t="s">
        <v>24</v>
      </c>
      <c r="E171" s="14" t="s">
        <v>16</v>
      </c>
      <c r="F171" s="29">
        <v>43115</v>
      </c>
      <c r="G171" s="71">
        <f>2*0.9295487</f>
        <v>1.8590974</v>
      </c>
      <c r="H171" s="29">
        <v>43234</v>
      </c>
      <c r="I171" s="71">
        <f>4*0.9295487</f>
        <v>3.7181948</v>
      </c>
      <c r="J171" s="15"/>
      <c r="K171" s="16"/>
      <c r="L171" s="15"/>
      <c r="M171" s="63"/>
      <c r="N171" s="17"/>
      <c r="O171" s="16"/>
      <c r="P171" s="18">
        <f t="shared" si="4"/>
        <v>5.5772922000000005</v>
      </c>
    </row>
    <row r="172" spans="1:17" x14ac:dyDescent="0.25">
      <c r="B172" s="12" t="s">
        <v>292</v>
      </c>
      <c r="C172" s="13" t="s">
        <v>293</v>
      </c>
      <c r="D172" s="14" t="s">
        <v>15</v>
      </c>
      <c r="E172" s="14" t="s">
        <v>16</v>
      </c>
      <c r="F172" s="15">
        <v>43201</v>
      </c>
      <c r="G172" s="16">
        <v>2.2000000000000002</v>
      </c>
      <c r="H172" s="15"/>
      <c r="I172" s="16"/>
      <c r="J172" s="15"/>
      <c r="K172" s="16"/>
      <c r="L172" s="15"/>
      <c r="M172" s="63"/>
      <c r="N172" s="17"/>
      <c r="O172" s="16"/>
      <c r="P172" s="18">
        <f t="shared" si="4"/>
        <v>2.2000000000000002</v>
      </c>
    </row>
    <row r="173" spans="1:17" x14ac:dyDescent="0.25">
      <c r="A173" s="33"/>
      <c r="B173" s="37" t="s">
        <v>294</v>
      </c>
      <c r="C173" s="13" t="s">
        <v>295</v>
      </c>
      <c r="D173" s="14" t="s">
        <v>15</v>
      </c>
      <c r="E173" s="14" t="s">
        <v>200</v>
      </c>
      <c r="F173" s="29">
        <v>43244</v>
      </c>
      <c r="G173" s="71">
        <f>0.9519362*8.25</f>
        <v>7.8534736499999998</v>
      </c>
      <c r="H173" s="15"/>
      <c r="I173" s="16"/>
      <c r="J173" s="15"/>
      <c r="K173" s="16"/>
      <c r="L173" s="15"/>
      <c r="M173" s="63"/>
      <c r="N173" s="17"/>
      <c r="O173" s="16"/>
      <c r="P173" s="18">
        <f t="shared" si="4"/>
        <v>7.8534736499999998</v>
      </c>
      <c r="Q173" s="36"/>
    </row>
    <row r="174" spans="1:17" x14ac:dyDescent="0.25">
      <c r="B174" s="12" t="s">
        <v>296</v>
      </c>
      <c r="C174" s="13" t="s">
        <v>297</v>
      </c>
      <c r="D174" s="14" t="s">
        <v>15</v>
      </c>
      <c r="E174" s="14" t="s">
        <v>16</v>
      </c>
      <c r="F174" s="29">
        <v>43210</v>
      </c>
      <c r="G174" s="71">
        <f>0.073*0.99451708</f>
        <v>7.2599746839999993E-2</v>
      </c>
      <c r="H174" s="15">
        <v>43311</v>
      </c>
      <c r="I174" s="16">
        <v>0.04</v>
      </c>
      <c r="J174" s="15"/>
      <c r="K174" s="16"/>
      <c r="L174" s="15"/>
      <c r="M174" s="63"/>
      <c r="N174" s="17"/>
      <c r="O174" s="16"/>
      <c r="P174" s="18">
        <f t="shared" si="4"/>
        <v>0.11259974683999999</v>
      </c>
    </row>
    <row r="175" spans="1:17" x14ac:dyDescent="0.25">
      <c r="A175" s="33"/>
      <c r="B175" s="37" t="s">
        <v>298</v>
      </c>
      <c r="C175" s="13" t="s">
        <v>299</v>
      </c>
      <c r="D175" s="14" t="s">
        <v>15</v>
      </c>
      <c r="E175" s="14" t="s">
        <v>21</v>
      </c>
      <c r="F175" s="15">
        <v>43231</v>
      </c>
      <c r="G175" s="16">
        <v>2</v>
      </c>
      <c r="H175" s="15"/>
      <c r="I175" s="16"/>
      <c r="J175" s="15"/>
      <c r="K175" s="16"/>
      <c r="L175" s="15"/>
      <c r="M175" s="63"/>
      <c r="N175" s="17"/>
      <c r="O175" s="16"/>
      <c r="P175" s="18">
        <f t="shared" si="4"/>
        <v>2</v>
      </c>
      <c r="Q175" s="36"/>
    </row>
    <row r="176" spans="1:17" x14ac:dyDescent="0.25">
      <c r="A176" s="33"/>
      <c r="B176" s="37" t="s">
        <v>300</v>
      </c>
      <c r="C176" s="13" t="s">
        <v>301</v>
      </c>
      <c r="D176" s="14" t="s">
        <v>24</v>
      </c>
      <c r="E176" s="14" t="s">
        <v>16</v>
      </c>
      <c r="F176" s="15">
        <v>43227</v>
      </c>
      <c r="G176" s="16">
        <v>1.3</v>
      </c>
      <c r="H176" s="15"/>
      <c r="I176" s="16"/>
      <c r="J176" s="15"/>
      <c r="K176" s="16"/>
      <c r="L176" s="15"/>
      <c r="M176" s="63"/>
      <c r="N176" s="17"/>
      <c r="O176" s="16"/>
      <c r="P176" s="18">
        <f t="shared" si="4"/>
        <v>1.3</v>
      </c>
      <c r="Q176" s="36"/>
    </row>
    <row r="177" spans="2:16" x14ac:dyDescent="0.25">
      <c r="B177" s="12" t="s">
        <v>302</v>
      </c>
      <c r="C177" s="13" t="s">
        <v>303</v>
      </c>
      <c r="D177" s="14" t="s">
        <v>15</v>
      </c>
      <c r="E177" s="14" t="s">
        <v>77</v>
      </c>
      <c r="F177" s="15">
        <v>43216</v>
      </c>
      <c r="G177" s="16">
        <v>11.05</v>
      </c>
      <c r="H177" s="15">
        <v>43328</v>
      </c>
      <c r="I177" s="16">
        <v>4.5999999999999996</v>
      </c>
      <c r="J177" s="15"/>
      <c r="K177" s="16"/>
      <c r="L177" s="15"/>
      <c r="M177" s="63"/>
      <c r="N177" s="17"/>
      <c r="O177" s="16"/>
      <c r="P177" s="18">
        <f t="shared" si="4"/>
        <v>15.65</v>
      </c>
    </row>
    <row r="178" spans="2:16" x14ac:dyDescent="0.25">
      <c r="B178" s="12" t="s">
        <v>304</v>
      </c>
      <c r="C178" s="13" t="s">
        <v>305</v>
      </c>
      <c r="D178" s="14" t="s">
        <v>24</v>
      </c>
      <c r="E178" s="14" t="s">
        <v>16</v>
      </c>
      <c r="F178" s="15">
        <v>43252</v>
      </c>
      <c r="G178" s="16">
        <v>1.26</v>
      </c>
      <c r="H178" s="15"/>
      <c r="I178" s="16"/>
      <c r="J178" s="15"/>
      <c r="K178" s="16"/>
      <c r="L178" s="15"/>
      <c r="M178" s="63"/>
      <c r="N178" s="17"/>
      <c r="O178" s="16"/>
      <c r="P178" s="18">
        <f t="shared" si="4"/>
        <v>1.26</v>
      </c>
    </row>
    <row r="179" spans="2:16" x14ac:dyDescent="0.25">
      <c r="B179" s="12" t="s">
        <v>634</v>
      </c>
      <c r="C179" s="13" t="s">
        <v>307</v>
      </c>
      <c r="D179" s="14" t="s">
        <v>15</v>
      </c>
      <c r="E179" s="14" t="s">
        <v>16</v>
      </c>
      <c r="F179" s="29">
        <v>43224</v>
      </c>
      <c r="G179" s="71">
        <f>7*0.64935065</f>
        <v>4.5454545500000005</v>
      </c>
      <c r="H179" s="15">
        <v>43451</v>
      </c>
      <c r="I179" s="16">
        <v>0.82499999999999996</v>
      </c>
      <c r="J179" s="15"/>
      <c r="K179" s="16"/>
      <c r="L179" s="15"/>
      <c r="M179" s="63"/>
      <c r="N179" s="17"/>
      <c r="O179" s="16"/>
      <c r="P179" s="18">
        <f>G179+I179+K179+M179+O179</f>
        <v>5.3704545500000007</v>
      </c>
    </row>
    <row r="180" spans="2:16" x14ac:dyDescent="0.25">
      <c r="B180" s="12" t="s">
        <v>637</v>
      </c>
      <c r="C180" s="13" t="s">
        <v>635</v>
      </c>
      <c r="D180" s="14" t="s">
        <v>636</v>
      </c>
      <c r="E180" s="14" t="s">
        <v>16</v>
      </c>
      <c r="F180" s="29">
        <v>43224</v>
      </c>
      <c r="G180" s="71">
        <v>4.5454545500000005</v>
      </c>
      <c r="H180" s="15">
        <v>43451</v>
      </c>
      <c r="I180" s="16">
        <v>0.82499999999999996</v>
      </c>
      <c r="J180" s="15"/>
      <c r="K180" s="16"/>
      <c r="L180" s="15"/>
      <c r="M180" s="63"/>
      <c r="N180" s="17"/>
      <c r="O180" s="16"/>
      <c r="P180" s="18">
        <f t="shared" si="4"/>
        <v>5.3704545500000007</v>
      </c>
    </row>
    <row r="181" spans="2:16" x14ac:dyDescent="0.25">
      <c r="B181" s="12" t="s">
        <v>308</v>
      </c>
      <c r="C181" s="13" t="s">
        <v>309</v>
      </c>
      <c r="D181" s="14" t="s">
        <v>15</v>
      </c>
      <c r="E181" s="14" t="s">
        <v>77</v>
      </c>
      <c r="F181" s="15">
        <v>43209</v>
      </c>
      <c r="G181" s="16">
        <v>2.0499999999999998</v>
      </c>
      <c r="H181" s="15">
        <v>43328</v>
      </c>
      <c r="I181" s="16">
        <v>1.07</v>
      </c>
      <c r="J181" s="15"/>
      <c r="K181" s="16"/>
      <c r="L181" s="15"/>
      <c r="M181" s="63"/>
      <c r="N181" s="17"/>
      <c r="O181" s="16"/>
      <c r="P181" s="18">
        <f t="shared" si="4"/>
        <v>3.12</v>
      </c>
    </row>
    <row r="182" spans="2:16" x14ac:dyDescent="0.25">
      <c r="B182" s="12" t="s">
        <v>310</v>
      </c>
      <c r="C182" s="13" t="s">
        <v>311</v>
      </c>
      <c r="D182" s="14" t="s">
        <v>24</v>
      </c>
      <c r="E182" s="14" t="s">
        <v>16</v>
      </c>
      <c r="F182" s="15">
        <v>43215</v>
      </c>
      <c r="G182" s="16">
        <v>3.55</v>
      </c>
      <c r="H182" s="15"/>
      <c r="I182" s="16"/>
      <c r="J182" s="15"/>
      <c r="K182" s="16"/>
      <c r="L182" s="15"/>
      <c r="M182" s="63"/>
      <c r="N182" s="17"/>
      <c r="O182" s="16"/>
      <c r="P182" s="18">
        <f t="shared" si="4"/>
        <v>3.55</v>
      </c>
    </row>
    <row r="183" spans="2:16" x14ac:dyDescent="0.25">
      <c r="B183" s="12" t="s">
        <v>312</v>
      </c>
      <c r="C183" s="13" t="s">
        <v>313</v>
      </c>
      <c r="D183" s="14" t="s">
        <v>24</v>
      </c>
      <c r="E183" s="14" t="s">
        <v>16</v>
      </c>
      <c r="F183" s="15">
        <v>43207</v>
      </c>
      <c r="G183" s="16">
        <v>3.4</v>
      </c>
      <c r="H183" s="15">
        <v>43438</v>
      </c>
      <c r="I183" s="16">
        <v>2</v>
      </c>
      <c r="J183" s="15"/>
      <c r="K183" s="16"/>
      <c r="L183" s="15"/>
      <c r="M183" s="63"/>
      <c r="N183" s="17"/>
      <c r="O183" s="16"/>
      <c r="P183" s="18">
        <f t="shared" si="4"/>
        <v>5.4</v>
      </c>
    </row>
    <row r="184" spans="2:16" x14ac:dyDescent="0.25">
      <c r="B184" s="12" t="s">
        <v>314</v>
      </c>
      <c r="C184" s="13" t="s">
        <v>315</v>
      </c>
      <c r="D184" s="14" t="s">
        <v>15</v>
      </c>
      <c r="E184" s="14" t="s">
        <v>16</v>
      </c>
      <c r="F184" s="15">
        <v>43263</v>
      </c>
      <c r="G184" s="16">
        <v>8.5699999999999998E-2</v>
      </c>
      <c r="H184" s="15">
        <v>43452</v>
      </c>
      <c r="I184" s="16">
        <v>0.06</v>
      </c>
      <c r="J184" s="15"/>
      <c r="K184" s="16"/>
      <c r="L184" s="15"/>
      <c r="M184" s="63"/>
      <c r="N184" s="17"/>
      <c r="O184" s="16"/>
      <c r="P184" s="18">
        <f t="shared" si="4"/>
        <v>0.1457</v>
      </c>
    </row>
    <row r="185" spans="2:16" x14ac:dyDescent="0.25">
      <c r="B185" s="19" t="s">
        <v>562</v>
      </c>
      <c r="C185" s="20" t="s">
        <v>589</v>
      </c>
      <c r="D185" s="21" t="s">
        <v>55</v>
      </c>
      <c r="E185" s="22" t="s">
        <v>56</v>
      </c>
      <c r="F185" s="23">
        <v>43196</v>
      </c>
      <c r="G185" s="24">
        <v>0.25</v>
      </c>
      <c r="H185" s="23">
        <v>43287</v>
      </c>
      <c r="I185" s="24">
        <v>0.25</v>
      </c>
      <c r="J185" s="23">
        <v>43378</v>
      </c>
      <c r="K185" s="24">
        <v>0.25</v>
      </c>
      <c r="L185" s="23">
        <v>43473</v>
      </c>
      <c r="M185" s="77">
        <v>0.33</v>
      </c>
      <c r="N185" s="25"/>
      <c r="O185" s="24"/>
      <c r="P185" s="26">
        <f t="shared" si="4"/>
        <v>1.08</v>
      </c>
    </row>
    <row r="186" spans="2:16" x14ac:dyDescent="0.25">
      <c r="B186" s="19" t="s">
        <v>561</v>
      </c>
      <c r="C186" s="20" t="s">
        <v>588</v>
      </c>
      <c r="D186" s="21" t="s">
        <v>55</v>
      </c>
      <c r="E186" s="22" t="s">
        <v>56</v>
      </c>
      <c r="F186" s="23">
        <v>43159</v>
      </c>
      <c r="G186" s="24">
        <v>1.01</v>
      </c>
      <c r="H186" s="23">
        <v>43252</v>
      </c>
      <c r="I186" s="24">
        <v>1.01</v>
      </c>
      <c r="J186" s="23">
        <v>43343</v>
      </c>
      <c r="K186" s="24">
        <v>1.01</v>
      </c>
      <c r="L186" s="23">
        <v>43434</v>
      </c>
      <c r="M186" s="77">
        <v>1.1599999999999999</v>
      </c>
      <c r="N186" s="25"/>
      <c r="O186" s="24"/>
      <c r="P186" s="26">
        <f t="shared" si="4"/>
        <v>4.1900000000000004</v>
      </c>
    </row>
    <row r="187" spans="2:16" x14ac:dyDescent="0.25">
      <c r="B187" s="12" t="s">
        <v>316</v>
      </c>
      <c r="C187" s="13" t="s">
        <v>317</v>
      </c>
      <c r="D187" s="14" t="s">
        <v>15</v>
      </c>
      <c r="E187" s="14" t="s">
        <v>16</v>
      </c>
      <c r="F187" s="15"/>
      <c r="G187" s="16"/>
      <c r="H187" s="15"/>
      <c r="I187" s="16"/>
      <c r="J187" s="15"/>
      <c r="K187" s="16"/>
      <c r="L187" s="15"/>
      <c r="M187" s="63"/>
      <c r="N187" s="17"/>
      <c r="O187" s="16"/>
      <c r="P187" s="26">
        <f t="shared" si="4"/>
        <v>0</v>
      </c>
    </row>
    <row r="188" spans="2:16" x14ac:dyDescent="0.25">
      <c r="B188" s="12" t="s">
        <v>318</v>
      </c>
      <c r="C188" s="13" t="s">
        <v>319</v>
      </c>
      <c r="D188" s="14" t="s">
        <v>15</v>
      </c>
      <c r="E188" s="14" t="s">
        <v>16</v>
      </c>
      <c r="F188" s="29">
        <v>43220</v>
      </c>
      <c r="G188" s="71">
        <v>0.49652779000000002</v>
      </c>
      <c r="H188" s="15"/>
      <c r="I188" s="16"/>
      <c r="J188" s="15"/>
      <c r="K188" s="16"/>
      <c r="L188" s="15"/>
      <c r="M188" s="63"/>
      <c r="N188" s="17"/>
      <c r="O188" s="16"/>
      <c r="P188" s="18">
        <f t="shared" si="4"/>
        <v>0.49652779000000002</v>
      </c>
    </row>
    <row r="189" spans="2:16" x14ac:dyDescent="0.25">
      <c r="B189" s="12" t="s">
        <v>320</v>
      </c>
      <c r="C189" s="13" t="s">
        <v>321</v>
      </c>
      <c r="D189" s="14" t="s">
        <v>15</v>
      </c>
      <c r="E189" s="14" t="s">
        <v>16</v>
      </c>
      <c r="F189" s="15">
        <v>43423</v>
      </c>
      <c r="G189" s="16">
        <v>0.47</v>
      </c>
      <c r="H189" s="15"/>
      <c r="I189" s="16"/>
      <c r="J189" s="15"/>
      <c r="K189" s="16"/>
      <c r="L189" s="15"/>
      <c r="M189" s="63"/>
      <c r="N189" s="17"/>
      <c r="O189" s="16"/>
      <c r="P189" s="18">
        <f t="shared" si="4"/>
        <v>0.47</v>
      </c>
    </row>
    <row r="190" spans="2:16" x14ac:dyDescent="0.25">
      <c r="B190" s="19" t="s">
        <v>558</v>
      </c>
      <c r="C190" s="20" t="s">
        <v>585</v>
      </c>
      <c r="D190" s="21" t="s">
        <v>55</v>
      </c>
      <c r="E190" s="22" t="s">
        <v>56</v>
      </c>
      <c r="F190" s="23">
        <v>43181</v>
      </c>
      <c r="G190" s="24">
        <v>0.46</v>
      </c>
      <c r="H190" s="23">
        <v>43286</v>
      </c>
      <c r="I190" s="24">
        <v>0.5</v>
      </c>
      <c r="J190" s="23">
        <v>43370</v>
      </c>
      <c r="K190" s="24">
        <v>0.5</v>
      </c>
      <c r="L190" s="23">
        <v>43461</v>
      </c>
      <c r="M190" s="77">
        <v>0.5</v>
      </c>
      <c r="N190" s="25"/>
      <c r="O190" s="24"/>
      <c r="P190" s="26">
        <f t="shared" si="4"/>
        <v>1.96</v>
      </c>
    </row>
    <row r="191" spans="2:16" x14ac:dyDescent="0.25">
      <c r="B191" s="12" t="s">
        <v>322</v>
      </c>
      <c r="C191" s="13" t="s">
        <v>323</v>
      </c>
      <c r="D191" s="14" t="s">
        <v>15</v>
      </c>
      <c r="E191" s="14" t="s">
        <v>16</v>
      </c>
      <c r="F191" s="15">
        <v>43220</v>
      </c>
      <c r="G191" s="16">
        <v>1.25</v>
      </c>
      <c r="H191" s="15"/>
      <c r="I191" s="16"/>
      <c r="J191" s="15"/>
      <c r="K191" s="16"/>
      <c r="L191" s="15"/>
      <c r="M191" s="63"/>
      <c r="N191" s="17"/>
      <c r="O191" s="16"/>
      <c r="P191" s="18">
        <f t="shared" si="4"/>
        <v>1.25</v>
      </c>
    </row>
    <row r="192" spans="2:16" x14ac:dyDescent="0.25">
      <c r="B192" s="19" t="s">
        <v>324</v>
      </c>
      <c r="C192" s="20" t="s">
        <v>325</v>
      </c>
      <c r="D192" s="21" t="s">
        <v>55</v>
      </c>
      <c r="E192" s="22" t="s">
        <v>56</v>
      </c>
      <c r="F192" s="23">
        <v>43173</v>
      </c>
      <c r="G192" s="24">
        <v>0.48</v>
      </c>
      <c r="H192" s="23">
        <v>43265</v>
      </c>
      <c r="I192" s="24">
        <v>0.48</v>
      </c>
      <c r="J192" s="23">
        <v>43357</v>
      </c>
      <c r="K192" s="24">
        <v>0.48</v>
      </c>
      <c r="L192" s="23">
        <v>43448</v>
      </c>
      <c r="M192" s="24">
        <v>0.55000000000000004</v>
      </c>
      <c r="N192" s="25"/>
      <c r="O192" s="24"/>
      <c r="P192" s="26">
        <f t="shared" si="4"/>
        <v>1.99</v>
      </c>
    </row>
    <row r="193" spans="2:16" x14ac:dyDescent="0.25">
      <c r="B193" s="12" t="s">
        <v>610</v>
      </c>
      <c r="C193" s="13" t="s">
        <v>326</v>
      </c>
      <c r="D193" s="14" t="s">
        <v>15</v>
      </c>
      <c r="E193" s="14" t="s">
        <v>16</v>
      </c>
      <c r="F193" s="15">
        <v>43146</v>
      </c>
      <c r="G193" s="16">
        <v>0.26</v>
      </c>
      <c r="H193" s="15"/>
      <c r="I193" s="16"/>
      <c r="J193" s="15"/>
      <c r="K193" s="16"/>
      <c r="L193" s="15"/>
      <c r="M193" s="63"/>
      <c r="N193" s="17"/>
      <c r="O193" s="16"/>
      <c r="P193" s="18">
        <f t="shared" si="4"/>
        <v>0.26</v>
      </c>
    </row>
    <row r="194" spans="2:16" x14ac:dyDescent="0.25">
      <c r="B194" s="12" t="s">
        <v>327</v>
      </c>
      <c r="C194" s="13" t="s">
        <v>328</v>
      </c>
      <c r="D194" s="14" t="s">
        <v>15</v>
      </c>
      <c r="E194" s="14" t="s">
        <v>16</v>
      </c>
      <c r="F194" s="15">
        <v>43182</v>
      </c>
      <c r="G194" s="16">
        <v>1.05</v>
      </c>
      <c r="H194" s="15"/>
      <c r="I194" s="16"/>
      <c r="J194" s="15"/>
      <c r="K194" s="16"/>
      <c r="L194" s="15"/>
      <c r="M194" s="63"/>
      <c r="N194" s="17"/>
      <c r="O194" s="16"/>
      <c r="P194" s="18">
        <f t="shared" si="4"/>
        <v>1.05</v>
      </c>
    </row>
    <row r="195" spans="2:16" x14ac:dyDescent="0.25">
      <c r="B195" s="12" t="s">
        <v>329</v>
      </c>
      <c r="C195" s="13" t="s">
        <v>330</v>
      </c>
      <c r="D195" s="14" t="s">
        <v>24</v>
      </c>
      <c r="E195" s="14" t="s">
        <v>16</v>
      </c>
      <c r="F195" s="15">
        <v>43242</v>
      </c>
      <c r="G195" s="16">
        <v>3.55</v>
      </c>
      <c r="H195" s="15"/>
      <c r="I195" s="16"/>
      <c r="J195" s="15"/>
      <c r="K195" s="16"/>
      <c r="L195" s="15"/>
      <c r="M195" s="63"/>
      <c r="N195" s="17"/>
      <c r="O195" s="16"/>
      <c r="P195" s="18">
        <f t="shared" si="4"/>
        <v>3.55</v>
      </c>
    </row>
    <row r="196" spans="2:16" x14ac:dyDescent="0.25">
      <c r="B196" s="19" t="s">
        <v>331</v>
      </c>
      <c r="C196" s="20" t="s">
        <v>332</v>
      </c>
      <c r="D196" s="21" t="s">
        <v>55</v>
      </c>
      <c r="E196" s="22" t="s">
        <v>56</v>
      </c>
      <c r="F196" s="23">
        <v>43145</v>
      </c>
      <c r="G196" s="24">
        <v>0.42</v>
      </c>
      <c r="H196" s="23">
        <v>43236</v>
      </c>
      <c r="I196" s="24">
        <v>0.42</v>
      </c>
      <c r="J196" s="23">
        <v>43327</v>
      </c>
      <c r="K196" s="24">
        <v>0.42</v>
      </c>
      <c r="L196" s="23">
        <v>43418</v>
      </c>
      <c r="M196" s="24">
        <v>0.46</v>
      </c>
      <c r="N196" s="25"/>
      <c r="O196" s="24"/>
      <c r="P196" s="26">
        <f t="shared" si="4"/>
        <v>1.72</v>
      </c>
    </row>
    <row r="197" spans="2:16" x14ac:dyDescent="0.25">
      <c r="B197" s="12" t="s">
        <v>333</v>
      </c>
      <c r="C197" s="13" t="s">
        <v>334</v>
      </c>
      <c r="D197" s="14" t="s">
        <v>15</v>
      </c>
      <c r="E197" s="14" t="s">
        <v>16</v>
      </c>
      <c r="F197" s="15">
        <v>43216</v>
      </c>
      <c r="G197" s="16">
        <v>8.6</v>
      </c>
      <c r="H197" s="15"/>
      <c r="I197" s="16"/>
      <c r="J197" s="15"/>
      <c r="K197" s="16"/>
      <c r="L197" s="15"/>
      <c r="M197" s="63"/>
      <c r="N197" s="17"/>
      <c r="O197" s="16"/>
      <c r="P197" s="18">
        <f t="shared" si="4"/>
        <v>8.6</v>
      </c>
    </row>
    <row r="198" spans="2:16" x14ac:dyDescent="0.25">
      <c r="B198" s="12" t="s">
        <v>335</v>
      </c>
      <c r="C198" s="13" t="s">
        <v>336</v>
      </c>
      <c r="D198" s="14" t="s">
        <v>15</v>
      </c>
      <c r="E198" s="14" t="s">
        <v>77</v>
      </c>
      <c r="F198" s="15">
        <v>43251</v>
      </c>
      <c r="G198" s="16">
        <v>30.44</v>
      </c>
      <c r="H198" s="15">
        <v>43426</v>
      </c>
      <c r="I198" s="16">
        <v>16.079999999999998</v>
      </c>
      <c r="J198" s="15"/>
      <c r="K198" s="16"/>
      <c r="L198" s="15"/>
      <c r="M198" s="63"/>
      <c r="N198" s="17"/>
      <c r="O198" s="16"/>
      <c r="P198" s="18">
        <f t="shared" si="4"/>
        <v>46.519999999999996</v>
      </c>
    </row>
    <row r="199" spans="2:16" x14ac:dyDescent="0.25">
      <c r="B199" s="12" t="s">
        <v>337</v>
      </c>
      <c r="C199" s="13" t="s">
        <v>338</v>
      </c>
      <c r="D199" s="14" t="s">
        <v>24</v>
      </c>
      <c r="E199" s="14" t="s">
        <v>16</v>
      </c>
      <c r="F199" s="15">
        <v>43248</v>
      </c>
      <c r="G199" s="16">
        <v>0.37</v>
      </c>
      <c r="H199" s="15"/>
      <c r="I199" s="16"/>
      <c r="J199" s="15"/>
      <c r="K199" s="16"/>
      <c r="L199" s="15"/>
      <c r="M199" s="63"/>
      <c r="N199" s="17"/>
      <c r="O199" s="16"/>
      <c r="P199" s="18">
        <f t="shared" si="4"/>
        <v>0.37</v>
      </c>
    </row>
    <row r="200" spans="2:16" x14ac:dyDescent="0.25">
      <c r="B200" s="12" t="s">
        <v>339</v>
      </c>
      <c r="C200" s="13" t="s">
        <v>340</v>
      </c>
      <c r="D200" s="14" t="s">
        <v>15</v>
      </c>
      <c r="E200" s="14" t="s">
        <v>16</v>
      </c>
      <c r="F200" s="15">
        <v>43196</v>
      </c>
      <c r="G200" s="16">
        <v>0.85</v>
      </c>
      <c r="H200" s="15">
        <v>43382</v>
      </c>
      <c r="I200" s="16">
        <v>0.85</v>
      </c>
      <c r="J200" s="15"/>
      <c r="K200" s="16"/>
      <c r="L200" s="15"/>
      <c r="M200" s="63"/>
      <c r="N200" s="17"/>
      <c r="O200" s="16"/>
      <c r="P200" s="18">
        <f t="shared" si="4"/>
        <v>1.7</v>
      </c>
    </row>
    <row r="201" spans="2:16" x14ac:dyDescent="0.25">
      <c r="B201" s="12" t="s">
        <v>341</v>
      </c>
      <c r="C201" s="13" t="s">
        <v>342</v>
      </c>
      <c r="D201" s="14" t="s">
        <v>15</v>
      </c>
      <c r="E201" s="14" t="s">
        <v>21</v>
      </c>
      <c r="F201" s="15">
        <v>43206</v>
      </c>
      <c r="G201" s="16">
        <v>2.35</v>
      </c>
      <c r="H201" s="15"/>
      <c r="I201" s="16"/>
      <c r="J201" s="15"/>
      <c r="K201" s="16"/>
      <c r="L201" s="15"/>
      <c r="M201" s="63"/>
      <c r="N201" s="17"/>
      <c r="O201" s="16"/>
      <c r="P201" s="18">
        <f t="shared" si="4"/>
        <v>2.35</v>
      </c>
    </row>
    <row r="202" spans="2:16" x14ac:dyDescent="0.25">
      <c r="B202" s="12" t="s">
        <v>343</v>
      </c>
      <c r="C202" s="13" t="s">
        <v>344</v>
      </c>
      <c r="D202" s="14" t="s">
        <v>15</v>
      </c>
      <c r="E202" s="14" t="s">
        <v>16</v>
      </c>
      <c r="F202" s="15">
        <v>43255</v>
      </c>
      <c r="G202" s="16">
        <v>1.04</v>
      </c>
      <c r="H202" s="15">
        <v>43332</v>
      </c>
      <c r="I202" s="16">
        <v>0.66</v>
      </c>
      <c r="J202" s="15"/>
      <c r="K202" s="16"/>
      <c r="L202" s="15"/>
      <c r="M202" s="63"/>
      <c r="N202" s="17"/>
      <c r="O202" s="16"/>
      <c r="P202" s="18">
        <f t="shared" si="4"/>
        <v>1.7000000000000002</v>
      </c>
    </row>
    <row r="203" spans="2:16" x14ac:dyDescent="0.25">
      <c r="B203" s="12" t="s">
        <v>345</v>
      </c>
      <c r="C203" s="13" t="s">
        <v>346</v>
      </c>
      <c r="D203" s="14" t="s">
        <v>15</v>
      </c>
      <c r="E203" s="14" t="s">
        <v>16</v>
      </c>
      <c r="F203" s="15">
        <v>43251</v>
      </c>
      <c r="G203" s="16">
        <v>0.19</v>
      </c>
      <c r="H203" s="15"/>
      <c r="I203" s="16"/>
      <c r="J203" s="15"/>
      <c r="K203" s="16"/>
      <c r="L203" s="15"/>
      <c r="M203" s="63"/>
      <c r="N203" s="17"/>
      <c r="O203" s="16"/>
      <c r="P203" s="18">
        <f t="shared" si="4"/>
        <v>0.19</v>
      </c>
    </row>
    <row r="204" spans="2:16" x14ac:dyDescent="0.25">
      <c r="B204" s="31" t="s">
        <v>347</v>
      </c>
      <c r="C204" s="32" t="s">
        <v>348</v>
      </c>
      <c r="D204" s="39" t="s">
        <v>15</v>
      </c>
      <c r="E204" s="39" t="s">
        <v>16</v>
      </c>
      <c r="F204" s="15">
        <v>43175</v>
      </c>
      <c r="G204" s="16">
        <v>0.68</v>
      </c>
      <c r="H204" s="15"/>
      <c r="I204" s="16"/>
      <c r="J204" s="15"/>
      <c r="K204" s="16"/>
      <c r="L204" s="15"/>
      <c r="M204" s="63"/>
      <c r="N204" s="17"/>
      <c r="O204" s="16"/>
      <c r="P204" s="18">
        <f t="shared" si="4"/>
        <v>0.68</v>
      </c>
    </row>
    <row r="205" spans="2:16" x14ac:dyDescent="0.25">
      <c r="B205" s="31" t="s">
        <v>349</v>
      </c>
      <c r="C205" s="32" t="s">
        <v>350</v>
      </c>
      <c r="D205" s="39" t="s">
        <v>15</v>
      </c>
      <c r="E205" s="39" t="s">
        <v>21</v>
      </c>
      <c r="F205" s="15">
        <v>43165</v>
      </c>
      <c r="G205" s="16">
        <v>2.8</v>
      </c>
      <c r="H205" s="15"/>
      <c r="I205" s="16"/>
      <c r="J205" s="15"/>
      <c r="K205" s="16"/>
      <c r="L205" s="15"/>
      <c r="M205" s="63"/>
      <c r="N205" s="17"/>
      <c r="O205" s="16"/>
      <c r="P205" s="18">
        <f t="shared" si="4"/>
        <v>2.8</v>
      </c>
    </row>
    <row r="206" spans="2:16" x14ac:dyDescent="0.25">
      <c r="B206" s="64" t="s">
        <v>555</v>
      </c>
      <c r="C206" s="65" t="s">
        <v>582</v>
      </c>
      <c r="D206" s="67" t="s">
        <v>55</v>
      </c>
      <c r="E206" s="68" t="s">
        <v>56</v>
      </c>
      <c r="F206" s="23">
        <v>43206</v>
      </c>
      <c r="G206" s="24">
        <v>0.19</v>
      </c>
      <c r="H206" s="23">
        <v>43297</v>
      </c>
      <c r="I206" s="24">
        <v>0.19</v>
      </c>
      <c r="J206" s="23" t="s">
        <v>633</v>
      </c>
      <c r="K206" s="24">
        <v>0.19</v>
      </c>
      <c r="L206" s="23">
        <v>43480</v>
      </c>
      <c r="M206" s="77">
        <v>0.19</v>
      </c>
      <c r="N206" s="25"/>
      <c r="O206" s="24"/>
      <c r="P206" s="26">
        <f t="shared" si="4"/>
        <v>0.76</v>
      </c>
    </row>
    <row r="207" spans="2:16" x14ac:dyDescent="0.25">
      <c r="B207" s="12" t="s">
        <v>353</v>
      </c>
      <c r="C207" s="13" t="s">
        <v>354</v>
      </c>
      <c r="D207" s="14" t="s">
        <v>24</v>
      </c>
      <c r="E207" s="14" t="s">
        <v>16</v>
      </c>
      <c r="F207" s="15">
        <v>43256</v>
      </c>
      <c r="G207" s="16">
        <v>0.4</v>
      </c>
      <c r="H207" s="15">
        <v>43438</v>
      </c>
      <c r="I207" s="16">
        <v>0.3</v>
      </c>
      <c r="J207" s="15"/>
      <c r="K207" s="16"/>
      <c r="L207" s="15"/>
      <c r="M207" s="63"/>
      <c r="N207" s="17"/>
      <c r="O207" s="16"/>
      <c r="P207" s="18">
        <f t="shared" si="4"/>
        <v>0.7</v>
      </c>
    </row>
    <row r="208" spans="2:16" x14ac:dyDescent="0.25">
      <c r="B208" s="44" t="s">
        <v>357</v>
      </c>
      <c r="C208" s="35" t="s">
        <v>358</v>
      </c>
      <c r="D208" s="45" t="s">
        <v>15</v>
      </c>
      <c r="E208" s="45" t="s">
        <v>77</v>
      </c>
      <c r="F208" s="46">
        <v>43195</v>
      </c>
      <c r="G208" s="47">
        <v>12</v>
      </c>
      <c r="H208" s="46">
        <v>43328</v>
      </c>
      <c r="I208" s="47">
        <v>5.5</v>
      </c>
      <c r="J208" s="46"/>
      <c r="K208" s="47"/>
      <c r="L208" s="46"/>
      <c r="M208" s="80"/>
      <c r="N208" s="48"/>
      <c r="O208" s="47"/>
      <c r="P208" s="49">
        <f t="shared" si="4"/>
        <v>17.5</v>
      </c>
    </row>
    <row r="209" spans="2:16" x14ac:dyDescent="0.25">
      <c r="B209" s="19" t="s">
        <v>551</v>
      </c>
      <c r="C209" s="20" t="s">
        <v>578</v>
      </c>
      <c r="D209" s="21" t="s">
        <v>55</v>
      </c>
      <c r="E209" s="22" t="s">
        <v>56</v>
      </c>
      <c r="F209" s="23">
        <v>43160</v>
      </c>
      <c r="G209" s="24">
        <v>0.80500000000000005</v>
      </c>
      <c r="H209" s="23">
        <v>43251</v>
      </c>
      <c r="I209" s="24">
        <v>0.92749999999999999</v>
      </c>
      <c r="J209" s="23">
        <v>43349</v>
      </c>
      <c r="K209" s="24">
        <v>0.92749999999999999</v>
      </c>
      <c r="L209" s="23">
        <v>43440</v>
      </c>
      <c r="M209" s="77">
        <v>0.92700000000000005</v>
      </c>
      <c r="N209" s="25"/>
      <c r="O209" s="24"/>
      <c r="P209" s="26">
        <f t="shared" si="4"/>
        <v>3.5870000000000002</v>
      </c>
    </row>
    <row r="210" spans="2:16" x14ac:dyDescent="0.25">
      <c r="B210" s="12" t="s">
        <v>359</v>
      </c>
      <c r="C210" s="13" t="s">
        <v>360</v>
      </c>
      <c r="D210" s="14" t="s">
        <v>24</v>
      </c>
      <c r="E210" s="14" t="s">
        <v>16</v>
      </c>
      <c r="F210" s="15">
        <v>43285</v>
      </c>
      <c r="G210" s="16">
        <v>1.01</v>
      </c>
      <c r="H210" s="15">
        <v>43432</v>
      </c>
      <c r="I210" s="16">
        <v>1.35</v>
      </c>
      <c r="J210" s="15"/>
      <c r="K210" s="16"/>
      <c r="L210" s="15"/>
      <c r="M210" s="63"/>
      <c r="N210" s="17"/>
      <c r="O210" s="16"/>
      <c r="P210" s="18">
        <f t="shared" si="4"/>
        <v>2.3600000000000003</v>
      </c>
    </row>
    <row r="211" spans="2:16" x14ac:dyDescent="0.25">
      <c r="B211" s="12" t="s">
        <v>361</v>
      </c>
      <c r="C211" s="13" t="s">
        <v>362</v>
      </c>
      <c r="D211" s="14" t="s">
        <v>24</v>
      </c>
      <c r="E211" s="14" t="s">
        <v>16</v>
      </c>
      <c r="F211" s="15">
        <v>43222</v>
      </c>
      <c r="G211" s="16">
        <v>0.53</v>
      </c>
      <c r="H211" s="15"/>
      <c r="I211" s="16"/>
      <c r="J211" s="15"/>
      <c r="K211" s="16"/>
      <c r="L211" s="15"/>
      <c r="M211" s="63"/>
      <c r="N211" s="17"/>
      <c r="O211" s="16"/>
      <c r="P211" s="18">
        <f t="shared" si="4"/>
        <v>0.53</v>
      </c>
    </row>
    <row r="212" spans="2:16" x14ac:dyDescent="0.25">
      <c r="B212" s="19" t="s">
        <v>363</v>
      </c>
      <c r="C212" s="20" t="s">
        <v>364</v>
      </c>
      <c r="D212" s="21" t="s">
        <v>55</v>
      </c>
      <c r="E212" s="22" t="s">
        <v>56</v>
      </c>
      <c r="F212" s="23">
        <v>43132</v>
      </c>
      <c r="G212" s="24">
        <v>0.34</v>
      </c>
      <c r="H212" s="23">
        <v>43230</v>
      </c>
      <c r="I212" s="24">
        <v>0.34</v>
      </c>
      <c r="J212" s="23">
        <v>43314</v>
      </c>
      <c r="K212" s="24">
        <v>0.34</v>
      </c>
      <c r="L212" s="23">
        <v>43412</v>
      </c>
      <c r="M212" s="24">
        <v>0.34</v>
      </c>
      <c r="N212" s="25"/>
      <c r="O212" s="24"/>
      <c r="P212" s="26">
        <f t="shared" si="4"/>
        <v>1.36</v>
      </c>
    </row>
    <row r="213" spans="2:16" x14ac:dyDescent="0.25">
      <c r="B213" s="19" t="s">
        <v>606</v>
      </c>
      <c r="C213" s="20" t="s">
        <v>365</v>
      </c>
      <c r="D213" s="21" t="s">
        <v>55</v>
      </c>
      <c r="E213" s="22" t="s">
        <v>56</v>
      </c>
      <c r="F213" s="23">
        <v>43180</v>
      </c>
      <c r="G213" s="24">
        <v>1.07</v>
      </c>
      <c r="H213" s="23">
        <v>43272</v>
      </c>
      <c r="I213" s="24">
        <v>1.1399999999999999</v>
      </c>
      <c r="J213" s="23">
        <v>43368</v>
      </c>
      <c r="K213" s="24">
        <v>1.1399999999999999</v>
      </c>
      <c r="L213" s="23">
        <v>43453</v>
      </c>
      <c r="M213" s="77">
        <v>1.1399999999999999</v>
      </c>
      <c r="N213" s="25"/>
      <c r="O213" s="24"/>
      <c r="P213" s="26">
        <f t="shared" ref="P213:P273" si="6">G213+I213+K213+M213+O213</f>
        <v>4.4899999999999993</v>
      </c>
    </row>
    <row r="214" spans="2:16" x14ac:dyDescent="0.25">
      <c r="B214" s="12" t="s">
        <v>366</v>
      </c>
      <c r="C214" s="13" t="s">
        <v>367</v>
      </c>
      <c r="D214" s="14" t="s">
        <v>15</v>
      </c>
      <c r="E214" s="14" t="s">
        <v>16</v>
      </c>
      <c r="F214" s="15">
        <v>43227</v>
      </c>
      <c r="G214" s="16">
        <v>0.8</v>
      </c>
      <c r="H214" s="15"/>
      <c r="I214" s="16"/>
      <c r="J214" s="15"/>
      <c r="K214" s="16"/>
      <c r="L214" s="15"/>
      <c r="M214" s="16"/>
      <c r="N214" s="17"/>
      <c r="O214" s="16"/>
      <c r="P214" s="18">
        <f t="shared" si="6"/>
        <v>0.8</v>
      </c>
    </row>
    <row r="215" spans="2:16" x14ac:dyDescent="0.25">
      <c r="B215" s="19" t="s">
        <v>355</v>
      </c>
      <c r="C215" s="20" t="s">
        <v>356</v>
      </c>
      <c r="D215" s="21" t="s">
        <v>55</v>
      </c>
      <c r="E215" s="22" t="s">
        <v>56</v>
      </c>
      <c r="F215" s="23">
        <v>43209</v>
      </c>
      <c r="G215" s="24">
        <v>0.71719999999999995</v>
      </c>
      <c r="H215" s="23">
        <v>43300</v>
      </c>
      <c r="I215" s="24">
        <v>0.71719999999999995</v>
      </c>
      <c r="J215" s="23">
        <v>43391</v>
      </c>
      <c r="K215" s="24">
        <v>0.71719999999999995</v>
      </c>
      <c r="L215" s="23">
        <v>43482</v>
      </c>
      <c r="M215" s="77">
        <v>0.71719999999999995</v>
      </c>
      <c r="N215" s="25"/>
      <c r="O215" s="24"/>
      <c r="P215" s="26">
        <f t="shared" si="6"/>
        <v>2.8687999999999998</v>
      </c>
    </row>
    <row r="216" spans="2:16" x14ac:dyDescent="0.25">
      <c r="B216" s="12" t="s">
        <v>368</v>
      </c>
      <c r="C216" s="13" t="s">
        <v>369</v>
      </c>
      <c r="D216" s="14" t="s">
        <v>27</v>
      </c>
      <c r="E216" s="14" t="s">
        <v>16</v>
      </c>
      <c r="F216" s="15">
        <v>43215</v>
      </c>
      <c r="G216" s="16">
        <v>1</v>
      </c>
      <c r="H216" s="15">
        <v>43439</v>
      </c>
      <c r="I216" s="16">
        <v>0.5</v>
      </c>
      <c r="J216" s="15"/>
      <c r="K216" s="16"/>
      <c r="L216" s="15"/>
      <c r="M216" s="63"/>
      <c r="N216" s="17"/>
      <c r="O216" s="16"/>
      <c r="P216" s="18">
        <f t="shared" si="6"/>
        <v>1.5</v>
      </c>
    </row>
    <row r="217" spans="2:16" x14ac:dyDescent="0.25">
      <c r="B217" s="12" t="s">
        <v>370</v>
      </c>
      <c r="C217" s="13" t="s">
        <v>371</v>
      </c>
      <c r="D217" s="14" t="s">
        <v>15</v>
      </c>
      <c r="E217" s="14" t="s">
        <v>77</v>
      </c>
      <c r="F217" s="15">
        <v>43188</v>
      </c>
      <c r="G217" s="16">
        <v>32.5</v>
      </c>
      <c r="H217" s="15">
        <v>43335</v>
      </c>
      <c r="I217" s="16">
        <v>15.67</v>
      </c>
      <c r="J217" s="15"/>
      <c r="K217" s="16"/>
      <c r="L217" s="15"/>
      <c r="M217" s="16"/>
      <c r="N217" s="17"/>
      <c r="O217" s="16"/>
      <c r="P217" s="18">
        <f t="shared" si="6"/>
        <v>48.17</v>
      </c>
    </row>
    <row r="218" spans="2:16" x14ac:dyDescent="0.25">
      <c r="B218" s="12" t="s">
        <v>372</v>
      </c>
      <c r="C218" s="13" t="s">
        <v>373</v>
      </c>
      <c r="D218" s="14" t="s">
        <v>24</v>
      </c>
      <c r="E218" s="14" t="s">
        <v>16</v>
      </c>
      <c r="F218" s="15">
        <v>43257</v>
      </c>
      <c r="G218" s="16">
        <v>2</v>
      </c>
      <c r="H218" s="15"/>
      <c r="I218" s="16"/>
      <c r="J218" s="15"/>
      <c r="K218" s="16"/>
      <c r="L218" s="15"/>
      <c r="M218" s="16"/>
      <c r="N218" s="17"/>
      <c r="O218" s="16"/>
      <c r="P218" s="18">
        <f t="shared" si="6"/>
        <v>2</v>
      </c>
    </row>
    <row r="219" spans="2:16" x14ac:dyDescent="0.25">
      <c r="B219" s="19" t="s">
        <v>572</v>
      </c>
      <c r="C219" s="20" t="s">
        <v>599</v>
      </c>
      <c r="D219" s="21" t="s">
        <v>55</v>
      </c>
      <c r="E219" s="22" t="s">
        <v>56</v>
      </c>
      <c r="F219" s="23">
        <v>43158</v>
      </c>
      <c r="G219" s="24">
        <v>0.56999999999999995</v>
      </c>
      <c r="H219" s="23">
        <v>43249</v>
      </c>
      <c r="I219" s="24">
        <v>0.62</v>
      </c>
      <c r="J219" s="23">
        <v>43347</v>
      </c>
      <c r="K219" s="24">
        <v>0.62</v>
      </c>
      <c r="L219" s="23">
        <v>43440</v>
      </c>
      <c r="M219" s="24">
        <v>0.62</v>
      </c>
      <c r="N219" s="25"/>
      <c r="O219" s="24"/>
      <c r="P219" s="26">
        <f t="shared" si="6"/>
        <v>2.4300000000000002</v>
      </c>
    </row>
    <row r="220" spans="2:16" x14ac:dyDescent="0.25">
      <c r="B220" s="12" t="s">
        <v>620</v>
      </c>
      <c r="C220" s="13" t="s">
        <v>375</v>
      </c>
      <c r="D220" s="14" t="s">
        <v>15</v>
      </c>
      <c r="E220" s="14" t="s">
        <v>16</v>
      </c>
      <c r="F220" s="29">
        <v>43188</v>
      </c>
      <c r="G220" s="71">
        <f>2.07*0.98563099</f>
        <v>2.0402561492999998</v>
      </c>
      <c r="H220" s="15"/>
      <c r="I220" s="16"/>
      <c r="J220" s="15"/>
      <c r="K220" s="16"/>
      <c r="L220" s="15"/>
      <c r="M220" s="16"/>
      <c r="N220" s="17"/>
      <c r="O220" s="16"/>
      <c r="P220" s="18">
        <f t="shared" si="6"/>
        <v>2.0402561492999998</v>
      </c>
    </row>
    <row r="221" spans="2:16" x14ac:dyDescent="0.25">
      <c r="B221" s="12" t="s">
        <v>376</v>
      </c>
      <c r="C221" s="13" t="s">
        <v>377</v>
      </c>
      <c r="D221" s="14" t="s">
        <v>15</v>
      </c>
      <c r="E221" s="14" t="s">
        <v>77</v>
      </c>
      <c r="F221" s="15">
        <v>43201</v>
      </c>
      <c r="G221" s="16">
        <v>97.7</v>
      </c>
      <c r="H221" s="15">
        <v>43328</v>
      </c>
      <c r="I221" s="16">
        <v>70.5</v>
      </c>
      <c r="J221" s="15"/>
      <c r="K221" s="16"/>
      <c r="L221" s="15"/>
      <c r="M221" s="16"/>
      <c r="N221" s="17"/>
      <c r="O221" s="16"/>
      <c r="P221" s="18">
        <f t="shared" si="6"/>
        <v>168.2</v>
      </c>
    </row>
    <row r="222" spans="2:16" x14ac:dyDescent="0.25">
      <c r="B222" s="12" t="s">
        <v>378</v>
      </c>
      <c r="C222" s="13" t="s">
        <v>379</v>
      </c>
      <c r="D222" s="14" t="s">
        <v>15</v>
      </c>
      <c r="E222" s="14" t="s">
        <v>16</v>
      </c>
      <c r="F222" s="15">
        <v>43103</v>
      </c>
      <c r="G222" s="16">
        <v>0.25490000000000002</v>
      </c>
      <c r="H222" s="15">
        <v>43279</v>
      </c>
      <c r="I222" s="16">
        <v>0.66390000000000005</v>
      </c>
      <c r="J222" s="15"/>
      <c r="K222" s="16"/>
      <c r="L222" s="15"/>
      <c r="M222" s="16"/>
      <c r="N222" s="17"/>
      <c r="O222" s="16"/>
      <c r="P222" s="18">
        <f t="shared" si="6"/>
        <v>0.91880000000000006</v>
      </c>
    </row>
    <row r="223" spans="2:16" x14ac:dyDescent="0.25">
      <c r="B223" s="12" t="s">
        <v>382</v>
      </c>
      <c r="C223" s="13" t="s">
        <v>381</v>
      </c>
      <c r="D223" s="14" t="s">
        <v>15</v>
      </c>
      <c r="E223" s="14" t="s">
        <v>16</v>
      </c>
      <c r="F223" s="15">
        <v>43216</v>
      </c>
      <c r="G223" s="16">
        <v>0.316</v>
      </c>
      <c r="H223" s="15">
        <v>43314</v>
      </c>
      <c r="I223" s="16">
        <v>0.14000000000000001</v>
      </c>
      <c r="J223" s="15"/>
      <c r="K223" s="16"/>
      <c r="L223" s="15"/>
      <c r="M223" s="16"/>
      <c r="N223" s="17"/>
      <c r="O223" s="16"/>
      <c r="P223" s="18">
        <f t="shared" si="6"/>
        <v>0.45600000000000002</v>
      </c>
    </row>
    <row r="224" spans="2:16" x14ac:dyDescent="0.25">
      <c r="B224" s="12" t="s">
        <v>382</v>
      </c>
      <c r="C224" s="13" t="s">
        <v>383</v>
      </c>
      <c r="D224" s="14" t="s">
        <v>15</v>
      </c>
      <c r="E224" s="14" t="s">
        <v>77</v>
      </c>
      <c r="F224" s="15">
        <v>43216</v>
      </c>
      <c r="G224" s="16">
        <v>27.7</v>
      </c>
      <c r="H224" s="15">
        <v>43314</v>
      </c>
      <c r="I224" s="16">
        <v>12.4</v>
      </c>
      <c r="J224" s="15"/>
      <c r="K224" s="16"/>
      <c r="L224" s="15"/>
      <c r="M224" s="16"/>
      <c r="N224" s="17"/>
      <c r="O224" s="16"/>
      <c r="P224" s="18">
        <f t="shared" si="6"/>
        <v>40.1</v>
      </c>
    </row>
    <row r="225" spans="2:16" x14ac:dyDescent="0.25">
      <c r="B225" s="12" t="s">
        <v>384</v>
      </c>
      <c r="C225" s="13" t="s">
        <v>385</v>
      </c>
      <c r="D225" s="14" t="s">
        <v>24</v>
      </c>
      <c r="E225" s="14" t="s">
        <v>16</v>
      </c>
      <c r="F225" s="15">
        <v>43272</v>
      </c>
      <c r="G225" s="16">
        <v>3.55</v>
      </c>
      <c r="H225" s="15"/>
      <c r="I225" s="16"/>
      <c r="J225" s="15"/>
      <c r="K225" s="16"/>
      <c r="L225" s="15"/>
      <c r="M225" s="16"/>
      <c r="N225" s="17"/>
      <c r="O225" s="16"/>
      <c r="P225" s="18">
        <f t="shared" si="6"/>
        <v>3.55</v>
      </c>
    </row>
    <row r="226" spans="2:16" x14ac:dyDescent="0.25">
      <c r="B226" s="12" t="s">
        <v>386</v>
      </c>
      <c r="C226" s="13" t="s">
        <v>387</v>
      </c>
      <c r="D226" s="14" t="s">
        <v>15</v>
      </c>
      <c r="E226" s="14" t="s">
        <v>16</v>
      </c>
      <c r="F226" s="15">
        <v>43087</v>
      </c>
      <c r="G226" s="16">
        <v>0.38800000000000001</v>
      </c>
      <c r="H226" s="15">
        <v>43269</v>
      </c>
      <c r="I226" s="16">
        <v>0.48499999999999999</v>
      </c>
      <c r="J226" s="15"/>
      <c r="K226" s="16"/>
      <c r="L226" s="15"/>
      <c r="M226" s="16"/>
      <c r="N226" s="17"/>
      <c r="O226" s="16"/>
      <c r="P226" s="18">
        <f t="shared" si="6"/>
        <v>0.873</v>
      </c>
    </row>
    <row r="227" spans="2:16" x14ac:dyDescent="0.25">
      <c r="B227" s="12" t="s">
        <v>388</v>
      </c>
      <c r="C227" s="13" t="s">
        <v>389</v>
      </c>
      <c r="D227" s="14" t="s">
        <v>15</v>
      </c>
      <c r="E227" s="14" t="s">
        <v>77</v>
      </c>
      <c r="F227" s="15">
        <v>43160</v>
      </c>
      <c r="G227" s="16">
        <v>129.43</v>
      </c>
      <c r="H227" s="15">
        <v>43321</v>
      </c>
      <c r="I227" s="16">
        <v>96.82</v>
      </c>
      <c r="J227" s="15"/>
      <c r="K227" s="16"/>
      <c r="L227" s="15"/>
      <c r="M227" s="16"/>
      <c r="N227" s="17"/>
      <c r="O227" s="16"/>
      <c r="P227" s="18">
        <f t="shared" si="6"/>
        <v>226.25</v>
      </c>
    </row>
    <row r="228" spans="2:16" x14ac:dyDescent="0.25">
      <c r="B228" s="12" t="s">
        <v>390</v>
      </c>
      <c r="C228" s="13" t="s">
        <v>391</v>
      </c>
      <c r="D228" s="14" t="s">
        <v>15</v>
      </c>
      <c r="E228" s="14" t="s">
        <v>21</v>
      </c>
      <c r="F228" s="15">
        <v>43174</v>
      </c>
      <c r="G228" s="16">
        <v>8.3000000000000007</v>
      </c>
      <c r="H228" s="15"/>
      <c r="I228" s="16"/>
      <c r="J228" s="15"/>
      <c r="K228" s="16"/>
      <c r="L228" s="15"/>
      <c r="M228" s="16"/>
      <c r="N228" s="17"/>
      <c r="O228" s="16"/>
      <c r="P228" s="18">
        <f t="shared" si="6"/>
        <v>8.3000000000000007</v>
      </c>
    </row>
    <row r="229" spans="2:16" x14ac:dyDescent="0.25">
      <c r="B229" s="31" t="s">
        <v>392</v>
      </c>
      <c r="C229" s="32" t="s">
        <v>393</v>
      </c>
      <c r="D229" s="39" t="s">
        <v>15</v>
      </c>
      <c r="E229" s="39" t="s">
        <v>77</v>
      </c>
      <c r="F229" s="40">
        <v>43216</v>
      </c>
      <c r="G229" s="41">
        <v>7.1</v>
      </c>
      <c r="H229" s="40">
        <v>43398</v>
      </c>
      <c r="I229" s="41">
        <v>4.5999999999999996</v>
      </c>
      <c r="J229" s="40"/>
      <c r="K229" s="41"/>
      <c r="L229" s="40"/>
      <c r="M229" s="41"/>
      <c r="N229" s="42"/>
      <c r="O229" s="41"/>
      <c r="P229" s="43">
        <f t="shared" si="6"/>
        <v>11.7</v>
      </c>
    </row>
    <row r="230" spans="2:16" x14ac:dyDescent="0.25">
      <c r="B230" s="12" t="s">
        <v>394</v>
      </c>
      <c r="C230" s="13" t="s">
        <v>395</v>
      </c>
      <c r="D230" s="14" t="s">
        <v>15</v>
      </c>
      <c r="E230" s="14" t="s">
        <v>16</v>
      </c>
      <c r="F230" s="15">
        <v>43146</v>
      </c>
      <c r="G230" s="16">
        <v>0.38179999999999997</v>
      </c>
      <c r="H230" s="15">
        <v>43230</v>
      </c>
      <c r="I230" s="16">
        <v>0.40110000000000001</v>
      </c>
      <c r="J230" s="15">
        <v>43321</v>
      </c>
      <c r="K230" s="16">
        <v>0.40479999999999999</v>
      </c>
      <c r="L230" s="15">
        <v>43419</v>
      </c>
      <c r="M230" s="16">
        <v>0.41239999999999999</v>
      </c>
      <c r="N230" s="17"/>
      <c r="O230" s="16"/>
      <c r="P230" s="18">
        <f t="shared" si="6"/>
        <v>1.6000999999999999</v>
      </c>
    </row>
    <row r="231" spans="2:16" x14ac:dyDescent="0.25">
      <c r="B231" s="12" t="s">
        <v>396</v>
      </c>
      <c r="C231" s="13" t="s">
        <v>397</v>
      </c>
      <c r="D231" s="14" t="s">
        <v>15</v>
      </c>
      <c r="E231" s="14" t="s">
        <v>16</v>
      </c>
      <c r="F231" s="29">
        <v>43217</v>
      </c>
      <c r="G231" s="71">
        <f>0.5*0.95206136</f>
        <v>0.47603067999999998</v>
      </c>
      <c r="H231" s="15"/>
      <c r="I231" s="16"/>
      <c r="J231" s="15"/>
      <c r="K231" s="16"/>
      <c r="L231" s="15"/>
      <c r="M231" s="16"/>
      <c r="N231" s="17"/>
      <c r="O231" s="16"/>
      <c r="P231" s="18">
        <f t="shared" si="6"/>
        <v>0.47603067999999998</v>
      </c>
    </row>
    <row r="232" spans="2:16" x14ac:dyDescent="0.25">
      <c r="B232" s="44" t="s">
        <v>398</v>
      </c>
      <c r="C232" s="35" t="s">
        <v>399</v>
      </c>
      <c r="D232" s="45" t="s">
        <v>24</v>
      </c>
      <c r="E232" s="45" t="s">
        <v>16</v>
      </c>
      <c r="F232" s="46">
        <v>43249</v>
      </c>
      <c r="G232" s="47">
        <v>1.6</v>
      </c>
      <c r="H232" s="46"/>
      <c r="I232" s="47"/>
      <c r="J232" s="46"/>
      <c r="K232" s="47"/>
      <c r="L232" s="46"/>
      <c r="M232" s="47"/>
      <c r="N232" s="48"/>
      <c r="O232" s="47"/>
      <c r="P232" s="49">
        <f t="shared" si="6"/>
        <v>1.6</v>
      </c>
    </row>
    <row r="233" spans="2:16" x14ac:dyDescent="0.25">
      <c r="B233" s="12" t="s">
        <v>400</v>
      </c>
      <c r="C233" s="13" t="s">
        <v>401</v>
      </c>
      <c r="D233" s="14" t="s">
        <v>24</v>
      </c>
      <c r="E233" s="14" t="s">
        <v>16</v>
      </c>
      <c r="F233" s="15">
        <v>43262</v>
      </c>
      <c r="G233" s="16">
        <v>1.3</v>
      </c>
      <c r="H233" s="15"/>
      <c r="I233" s="16"/>
      <c r="J233" s="15"/>
      <c r="K233" s="16"/>
      <c r="L233" s="15"/>
      <c r="M233" s="16"/>
      <c r="N233" s="17"/>
      <c r="O233" s="16"/>
      <c r="P233" s="18">
        <f t="shared" si="6"/>
        <v>1.3</v>
      </c>
    </row>
    <row r="234" spans="2:16" x14ac:dyDescent="0.25">
      <c r="B234" s="12" t="s">
        <v>402</v>
      </c>
      <c r="C234" s="13" t="s">
        <v>403</v>
      </c>
      <c r="D234" s="14" t="s">
        <v>15</v>
      </c>
      <c r="E234" s="14" t="s">
        <v>16</v>
      </c>
      <c r="F234" s="15">
        <v>43241</v>
      </c>
      <c r="G234" s="16">
        <v>0.38</v>
      </c>
      <c r="H234" s="15"/>
      <c r="I234" s="16"/>
      <c r="J234" s="15"/>
      <c r="K234" s="16"/>
      <c r="L234" s="15"/>
      <c r="M234" s="16"/>
      <c r="N234" s="17"/>
      <c r="O234" s="16"/>
      <c r="P234" s="18">
        <f t="shared" si="6"/>
        <v>0.38</v>
      </c>
    </row>
    <row r="235" spans="2:16" x14ac:dyDescent="0.25">
      <c r="B235" s="12" t="s">
        <v>404</v>
      </c>
      <c r="C235" s="13" t="s">
        <v>405</v>
      </c>
      <c r="D235" s="14" t="s">
        <v>15</v>
      </c>
      <c r="E235" s="14" t="s">
        <v>16</v>
      </c>
      <c r="F235" s="15">
        <v>43210</v>
      </c>
      <c r="G235" s="16">
        <v>2.6</v>
      </c>
      <c r="H235" s="15"/>
      <c r="I235" s="16"/>
      <c r="J235" s="15"/>
      <c r="K235" s="16"/>
      <c r="L235" s="15"/>
      <c r="M235" s="16"/>
      <c r="N235" s="17"/>
      <c r="O235" s="16"/>
      <c r="P235" s="18">
        <f t="shared" si="6"/>
        <v>2.6</v>
      </c>
    </row>
    <row r="236" spans="2:16" x14ac:dyDescent="0.25">
      <c r="B236" s="12" t="s">
        <v>406</v>
      </c>
      <c r="C236" s="13" t="s">
        <v>407</v>
      </c>
      <c r="D236" s="14" t="s">
        <v>24</v>
      </c>
      <c r="E236" s="14" t="s">
        <v>16</v>
      </c>
      <c r="F236" s="15">
        <v>43231</v>
      </c>
      <c r="G236" s="16">
        <v>3.03</v>
      </c>
      <c r="H236" s="15"/>
      <c r="I236" s="16"/>
      <c r="J236" s="15"/>
      <c r="K236" s="16"/>
      <c r="L236" s="15"/>
      <c r="M236" s="16"/>
      <c r="N236" s="17"/>
      <c r="O236" s="16"/>
      <c r="P236" s="18">
        <f t="shared" si="6"/>
        <v>3.03</v>
      </c>
    </row>
    <row r="237" spans="2:16" x14ac:dyDescent="0.25">
      <c r="B237" s="12" t="s">
        <v>408</v>
      </c>
      <c r="C237" s="13" t="s">
        <v>409</v>
      </c>
      <c r="D237" s="14" t="s">
        <v>15</v>
      </c>
      <c r="E237" s="14" t="s">
        <v>16</v>
      </c>
      <c r="F237" s="15">
        <v>43238</v>
      </c>
      <c r="G237" s="16">
        <v>1.4</v>
      </c>
      <c r="H237" s="15"/>
      <c r="I237" s="16"/>
      <c r="J237" s="15"/>
      <c r="K237" s="16"/>
      <c r="L237" s="15"/>
      <c r="M237" s="16"/>
      <c r="N237" s="17"/>
      <c r="O237" s="16"/>
      <c r="P237" s="18">
        <f t="shared" si="6"/>
        <v>1.4</v>
      </c>
    </row>
    <row r="238" spans="2:16" x14ac:dyDescent="0.25">
      <c r="B238" s="12" t="s">
        <v>410</v>
      </c>
      <c r="C238" s="13" t="s">
        <v>411</v>
      </c>
      <c r="D238" s="14" t="s">
        <v>15</v>
      </c>
      <c r="E238" s="14" t="s">
        <v>16</v>
      </c>
      <c r="F238" s="15">
        <v>43203</v>
      </c>
      <c r="G238" s="16">
        <v>0.2019</v>
      </c>
      <c r="H238" s="15"/>
      <c r="I238" s="16"/>
      <c r="J238" s="15"/>
      <c r="K238" s="16"/>
      <c r="L238" s="15"/>
      <c r="M238" s="16"/>
      <c r="N238" s="17"/>
      <c r="O238" s="16"/>
      <c r="P238" s="18">
        <f t="shared" si="6"/>
        <v>0.2019</v>
      </c>
    </row>
    <row r="239" spans="2:16" x14ac:dyDescent="0.25">
      <c r="B239" s="19" t="s">
        <v>559</v>
      </c>
      <c r="C239" s="20" t="s">
        <v>586</v>
      </c>
      <c r="D239" s="21" t="s">
        <v>55</v>
      </c>
      <c r="E239" s="22" t="s">
        <v>56</v>
      </c>
      <c r="F239" s="23">
        <v>43137</v>
      </c>
      <c r="G239" s="24">
        <v>0.5</v>
      </c>
      <c r="H239" s="23">
        <v>43256</v>
      </c>
      <c r="I239" s="24">
        <v>0.5</v>
      </c>
      <c r="J239" s="23">
        <v>43347</v>
      </c>
      <c r="K239" s="24">
        <v>0.5</v>
      </c>
      <c r="L239" s="23">
        <v>43438</v>
      </c>
      <c r="M239" s="24">
        <v>0.5</v>
      </c>
      <c r="N239" s="25"/>
      <c r="O239" s="24"/>
      <c r="P239" s="26">
        <f t="shared" si="6"/>
        <v>2</v>
      </c>
    </row>
    <row r="240" spans="2:16" x14ac:dyDescent="0.25">
      <c r="B240" s="12" t="s">
        <v>412</v>
      </c>
      <c r="C240" s="13" t="s">
        <v>413</v>
      </c>
      <c r="D240" s="14" t="s">
        <v>24</v>
      </c>
      <c r="E240" s="14" t="s">
        <v>16</v>
      </c>
      <c r="F240" s="15">
        <v>43222</v>
      </c>
      <c r="G240" s="16">
        <v>2.2000000000000002</v>
      </c>
      <c r="H240" s="15"/>
      <c r="I240" s="16"/>
      <c r="J240" s="15"/>
      <c r="K240" s="16"/>
      <c r="L240" s="15"/>
      <c r="M240" s="16"/>
      <c r="N240" s="17"/>
      <c r="O240" s="16"/>
      <c r="P240" s="18">
        <f t="shared" si="6"/>
        <v>2.2000000000000002</v>
      </c>
    </row>
    <row r="241" spans="2:16" x14ac:dyDescent="0.25">
      <c r="B241" s="12" t="s">
        <v>414</v>
      </c>
      <c r="C241" s="13" t="s">
        <v>415</v>
      </c>
      <c r="D241" s="14" t="s">
        <v>24</v>
      </c>
      <c r="E241" s="14" t="s">
        <v>16</v>
      </c>
      <c r="F241" s="15">
        <v>43220</v>
      </c>
      <c r="G241" s="16">
        <v>1.65</v>
      </c>
      <c r="H241" s="15"/>
      <c r="I241" s="16"/>
      <c r="J241" s="15"/>
      <c r="K241" s="16"/>
      <c r="L241" s="15"/>
      <c r="M241" s="16"/>
      <c r="N241" s="17"/>
      <c r="O241" s="16"/>
      <c r="P241" s="18">
        <f t="shared" si="6"/>
        <v>1.65</v>
      </c>
    </row>
    <row r="242" spans="2:16" x14ac:dyDescent="0.25">
      <c r="B242" s="12" t="s">
        <v>416</v>
      </c>
      <c r="C242" s="13" t="s">
        <v>417</v>
      </c>
      <c r="D242" s="14" t="s">
        <v>237</v>
      </c>
      <c r="E242" s="14" t="s">
        <v>16</v>
      </c>
      <c r="F242" s="15">
        <v>43269</v>
      </c>
      <c r="G242" s="16">
        <v>0.51200000000000001</v>
      </c>
      <c r="H242" s="15"/>
      <c r="I242" s="16"/>
      <c r="J242" s="15"/>
      <c r="K242" s="16"/>
      <c r="L242" s="15"/>
      <c r="M242" s="16"/>
      <c r="N242" s="17"/>
      <c r="O242" s="16"/>
      <c r="P242" s="18">
        <f t="shared" si="6"/>
        <v>0.51200000000000001</v>
      </c>
    </row>
    <row r="243" spans="2:16" x14ac:dyDescent="0.25">
      <c r="B243" s="12" t="s">
        <v>418</v>
      </c>
      <c r="C243" s="13" t="s">
        <v>419</v>
      </c>
      <c r="D243" s="14" t="s">
        <v>15</v>
      </c>
      <c r="E243" s="14" t="s">
        <v>77</v>
      </c>
      <c r="F243" s="15">
        <v>43265</v>
      </c>
      <c r="G243" s="16">
        <v>51.92</v>
      </c>
      <c r="H243" s="15">
        <v>43433</v>
      </c>
      <c r="I243" s="16">
        <v>37.75</v>
      </c>
      <c r="J243" s="15"/>
      <c r="K243" s="16"/>
      <c r="L243" s="15"/>
      <c r="M243" s="16"/>
      <c r="N243" s="17"/>
      <c r="O243" s="16"/>
      <c r="P243" s="18">
        <f t="shared" si="6"/>
        <v>89.67</v>
      </c>
    </row>
    <row r="244" spans="2:16" x14ac:dyDescent="0.25">
      <c r="B244" s="12" t="s">
        <v>420</v>
      </c>
      <c r="C244" s="13" t="s">
        <v>421</v>
      </c>
      <c r="D244" s="14" t="s">
        <v>15</v>
      </c>
      <c r="E244" s="14" t="s">
        <v>21</v>
      </c>
      <c r="F244" s="15">
        <v>43180</v>
      </c>
      <c r="G244" s="16">
        <v>75</v>
      </c>
      <c r="H244" s="15"/>
      <c r="I244" s="16"/>
      <c r="J244" s="15"/>
      <c r="K244" s="16"/>
      <c r="L244" s="15"/>
      <c r="M244" s="16"/>
      <c r="N244" s="17"/>
      <c r="O244" s="16"/>
      <c r="P244" s="18">
        <f t="shared" si="6"/>
        <v>75</v>
      </c>
    </row>
    <row r="245" spans="2:16" x14ac:dyDescent="0.25">
      <c r="B245" s="12" t="s">
        <v>422</v>
      </c>
      <c r="C245" s="13" t="s">
        <v>423</v>
      </c>
      <c r="D245" s="14" t="s">
        <v>15</v>
      </c>
      <c r="E245" s="14" t="s">
        <v>77</v>
      </c>
      <c r="F245" s="15">
        <v>43167</v>
      </c>
      <c r="G245" s="16">
        <v>21.46</v>
      </c>
      <c r="H245" s="15">
        <v>43349</v>
      </c>
      <c r="I245" s="16">
        <v>4.26</v>
      </c>
      <c r="J245" s="15"/>
      <c r="K245" s="16"/>
      <c r="L245" s="15"/>
      <c r="M245" s="16"/>
      <c r="N245" s="17"/>
      <c r="O245" s="16"/>
      <c r="P245" s="18">
        <f t="shared" si="6"/>
        <v>25.72</v>
      </c>
    </row>
    <row r="246" spans="2:16" x14ac:dyDescent="0.25">
      <c r="B246" s="12" t="s">
        <v>424</v>
      </c>
      <c r="C246" s="13" t="s">
        <v>425</v>
      </c>
      <c r="D246" s="14" t="s">
        <v>15</v>
      </c>
      <c r="E246" s="14" t="s">
        <v>16</v>
      </c>
      <c r="F246" s="15">
        <v>43132</v>
      </c>
      <c r="G246" s="16">
        <v>3.7</v>
      </c>
      <c r="H246" s="15"/>
      <c r="I246" s="16"/>
      <c r="J246" s="15"/>
      <c r="K246" s="16"/>
      <c r="L246" s="15"/>
      <c r="M246" s="63"/>
      <c r="N246" s="17"/>
      <c r="O246" s="16"/>
      <c r="P246" s="18">
        <f t="shared" si="6"/>
        <v>3.7</v>
      </c>
    </row>
    <row r="247" spans="2:16" x14ac:dyDescent="0.25">
      <c r="B247" s="12" t="s">
        <v>426</v>
      </c>
      <c r="C247" s="13" t="s">
        <v>427</v>
      </c>
      <c r="D247" s="14" t="s">
        <v>15</v>
      </c>
      <c r="E247" s="14" t="s">
        <v>200</v>
      </c>
      <c r="F247" s="15">
        <v>43186</v>
      </c>
      <c r="G247" s="16">
        <v>5.75</v>
      </c>
      <c r="H247" s="15"/>
      <c r="I247" s="16"/>
      <c r="J247" s="15"/>
      <c r="K247" s="16"/>
      <c r="L247" s="15"/>
      <c r="M247" s="63"/>
      <c r="N247" s="17"/>
      <c r="O247" s="16"/>
      <c r="P247" s="18">
        <f t="shared" si="6"/>
        <v>5.75</v>
      </c>
    </row>
    <row r="248" spans="2:16" ht="15.75" thickBot="1" x14ac:dyDescent="0.3">
      <c r="B248" s="31" t="s">
        <v>430</v>
      </c>
      <c r="C248" s="32" t="s">
        <v>431</v>
      </c>
      <c r="D248" s="39" t="s">
        <v>15</v>
      </c>
      <c r="E248" s="39" t="s">
        <v>16</v>
      </c>
      <c r="F248" s="40">
        <v>43122</v>
      </c>
      <c r="G248" s="41">
        <v>8.6199999999999999E-2</v>
      </c>
      <c r="H248" s="40">
        <v>43269</v>
      </c>
      <c r="I248" s="41">
        <v>0.1293</v>
      </c>
      <c r="J248" s="40"/>
      <c r="K248" s="41"/>
      <c r="L248" s="40"/>
      <c r="M248" s="79"/>
      <c r="N248" s="42"/>
      <c r="O248" s="41"/>
      <c r="P248" s="43">
        <f t="shared" si="6"/>
        <v>0.2155</v>
      </c>
    </row>
    <row r="249" spans="2:16" x14ac:dyDescent="0.25">
      <c r="B249" s="50" t="s">
        <v>432</v>
      </c>
      <c r="C249" s="51" t="s">
        <v>433</v>
      </c>
      <c r="D249" s="52" t="s">
        <v>15</v>
      </c>
      <c r="E249" s="52" t="s">
        <v>16</v>
      </c>
      <c r="F249" s="53">
        <v>43241</v>
      </c>
      <c r="G249" s="54">
        <v>0.20799999999999999</v>
      </c>
      <c r="H249" s="53"/>
      <c r="I249" s="54"/>
      <c r="J249" s="53"/>
      <c r="K249" s="54"/>
      <c r="L249" s="53"/>
      <c r="M249" s="81"/>
      <c r="N249" s="55"/>
      <c r="O249" s="54"/>
      <c r="P249" s="70">
        <f>0.2*(G249+I249+K249+M249+O249)</f>
        <v>4.1599999999999998E-2</v>
      </c>
    </row>
    <row r="250" spans="2:16" ht="15.75" thickBot="1" x14ac:dyDescent="0.3">
      <c r="B250" s="56" t="s">
        <v>434</v>
      </c>
      <c r="C250" s="57" t="s">
        <v>433</v>
      </c>
      <c r="D250" s="58" t="s">
        <v>15</v>
      </c>
      <c r="E250" s="58" t="s">
        <v>16</v>
      </c>
      <c r="F250" s="59">
        <v>43122</v>
      </c>
      <c r="G250" s="60">
        <v>8.6199999999999999E-2</v>
      </c>
      <c r="H250" s="59">
        <v>43269</v>
      </c>
      <c r="I250" s="60">
        <v>0.1293</v>
      </c>
      <c r="J250" s="59"/>
      <c r="K250" s="60"/>
      <c r="L250" s="59"/>
      <c r="M250" s="82"/>
      <c r="N250" s="61"/>
      <c r="O250" s="60"/>
      <c r="P250" s="62">
        <f>(G250+I250+K250+M250+O250)+P249</f>
        <v>0.2571</v>
      </c>
    </row>
    <row r="251" spans="2:16" x14ac:dyDescent="0.25">
      <c r="B251" s="44" t="s">
        <v>435</v>
      </c>
      <c r="C251" s="35" t="s">
        <v>436</v>
      </c>
      <c r="D251" s="45" t="s">
        <v>24</v>
      </c>
      <c r="E251" s="45" t="s">
        <v>16</v>
      </c>
      <c r="F251" s="46">
        <v>43250</v>
      </c>
      <c r="G251" s="47">
        <v>2.2000000000000002</v>
      </c>
      <c r="H251" s="46"/>
      <c r="I251" s="47"/>
      <c r="J251" s="46"/>
      <c r="K251" s="47"/>
      <c r="L251" s="46"/>
      <c r="M251" s="80"/>
      <c r="N251" s="48"/>
      <c r="O251" s="47"/>
      <c r="P251" s="49">
        <f t="shared" si="6"/>
        <v>2.2000000000000002</v>
      </c>
    </row>
    <row r="252" spans="2:16" x14ac:dyDescent="0.25">
      <c r="B252" s="12" t="s">
        <v>437</v>
      </c>
      <c r="C252" s="13" t="s">
        <v>438</v>
      </c>
      <c r="D252" s="14" t="s">
        <v>24</v>
      </c>
      <c r="E252" s="14" t="s">
        <v>16</v>
      </c>
      <c r="F252" s="15">
        <v>43132</v>
      </c>
      <c r="G252" s="16">
        <v>2.75</v>
      </c>
      <c r="H252" s="15"/>
      <c r="I252" s="16"/>
      <c r="J252" s="15"/>
      <c r="K252" s="16"/>
      <c r="L252" s="15"/>
      <c r="M252" s="63"/>
      <c r="N252" s="17"/>
      <c r="O252" s="16"/>
      <c r="P252" s="18">
        <f t="shared" si="6"/>
        <v>2.75</v>
      </c>
    </row>
    <row r="253" spans="2:16" x14ac:dyDescent="0.25">
      <c r="B253" s="12" t="s">
        <v>439</v>
      </c>
      <c r="C253" s="13" t="s">
        <v>440</v>
      </c>
      <c r="D253" s="14" t="s">
        <v>27</v>
      </c>
      <c r="E253" s="14" t="s">
        <v>16</v>
      </c>
      <c r="F253" s="15">
        <v>43116</v>
      </c>
      <c r="G253" s="16">
        <v>1.38</v>
      </c>
      <c r="H253" s="15">
        <v>43241</v>
      </c>
      <c r="I253" s="16">
        <v>2.2200000000000002</v>
      </c>
      <c r="J253" s="15"/>
      <c r="K253" s="16"/>
      <c r="L253" s="15"/>
      <c r="M253" s="63"/>
      <c r="N253" s="17"/>
      <c r="O253" s="16"/>
      <c r="P253" s="18">
        <f t="shared" si="6"/>
        <v>3.6</v>
      </c>
    </row>
    <row r="254" spans="2:16" x14ac:dyDescent="0.25">
      <c r="B254" s="19" t="s">
        <v>443</v>
      </c>
      <c r="C254" s="20" t="s">
        <v>444</v>
      </c>
      <c r="D254" s="21" t="s">
        <v>55</v>
      </c>
      <c r="E254" s="22" t="s">
        <v>56</v>
      </c>
      <c r="F254" s="23">
        <v>43147</v>
      </c>
      <c r="G254" s="24">
        <v>0.57999999999999996</v>
      </c>
      <c r="H254" s="23">
        <v>43238</v>
      </c>
      <c r="I254" s="24">
        <v>0.6</v>
      </c>
      <c r="J254" s="23">
        <v>43329</v>
      </c>
      <c r="K254" s="24">
        <v>0.6</v>
      </c>
      <c r="L254" s="23">
        <v>43420</v>
      </c>
      <c r="M254" s="77">
        <v>0.6</v>
      </c>
      <c r="N254" s="25"/>
      <c r="O254" s="24"/>
      <c r="P254" s="26">
        <f t="shared" si="6"/>
        <v>2.38</v>
      </c>
    </row>
    <row r="255" spans="2:16" x14ac:dyDescent="0.25">
      <c r="B255" s="12" t="s">
        <v>445</v>
      </c>
      <c r="C255" s="13" t="s">
        <v>446</v>
      </c>
      <c r="D255" s="14" t="s">
        <v>15</v>
      </c>
      <c r="E255" s="14" t="s">
        <v>77</v>
      </c>
      <c r="F255" s="15">
        <v>43118</v>
      </c>
      <c r="G255" s="16">
        <v>28.4</v>
      </c>
      <c r="H255" s="15">
        <v>43307</v>
      </c>
      <c r="I255" s="16">
        <v>66.3</v>
      </c>
      <c r="J255" s="15"/>
      <c r="K255" s="16"/>
      <c r="L255" s="15"/>
      <c r="M255" s="63"/>
      <c r="N255" s="17"/>
      <c r="O255" s="16"/>
      <c r="P255" s="18">
        <f t="shared" si="6"/>
        <v>94.699999999999989</v>
      </c>
    </row>
    <row r="256" spans="2:16" x14ac:dyDescent="0.25">
      <c r="B256" s="12" t="s">
        <v>447</v>
      </c>
      <c r="C256" s="13" t="s">
        <v>448</v>
      </c>
      <c r="D256" s="14" t="s">
        <v>15</v>
      </c>
      <c r="E256" s="14" t="s">
        <v>56</v>
      </c>
      <c r="F256" s="15">
        <v>43167</v>
      </c>
      <c r="G256" s="16">
        <v>0.11</v>
      </c>
      <c r="H256" s="15">
        <v>43321</v>
      </c>
      <c r="I256" s="16">
        <v>0.06</v>
      </c>
      <c r="J256" s="15"/>
      <c r="K256" s="16"/>
      <c r="L256" s="15"/>
      <c r="M256" s="63"/>
      <c r="N256" s="17"/>
      <c r="O256" s="16"/>
      <c r="P256" s="18">
        <f t="shared" si="6"/>
        <v>0.16999999999999998</v>
      </c>
    </row>
    <row r="257" spans="2:16" x14ac:dyDescent="0.25">
      <c r="B257" s="19" t="s">
        <v>571</v>
      </c>
      <c r="C257" s="20" t="s">
        <v>598</v>
      </c>
      <c r="D257" s="21" t="s">
        <v>55</v>
      </c>
      <c r="E257" s="22" t="s">
        <v>56</v>
      </c>
      <c r="F257" s="23">
        <v>42773</v>
      </c>
      <c r="G257" s="24">
        <v>0.3</v>
      </c>
      <c r="H257" s="23">
        <v>43229</v>
      </c>
      <c r="I257" s="24">
        <v>0.3</v>
      </c>
      <c r="J257" s="23">
        <v>43320</v>
      </c>
      <c r="K257" s="24">
        <v>0.36</v>
      </c>
      <c r="L257" s="23">
        <v>43418</v>
      </c>
      <c r="M257" s="77">
        <v>0.36</v>
      </c>
      <c r="N257" s="25"/>
      <c r="O257" s="24"/>
      <c r="P257" s="26">
        <f t="shared" si="6"/>
        <v>1.3199999999999998</v>
      </c>
    </row>
    <row r="258" spans="2:16" x14ac:dyDescent="0.25">
      <c r="B258" s="12" t="s">
        <v>451</v>
      </c>
      <c r="C258" s="13" t="s">
        <v>452</v>
      </c>
      <c r="D258" s="14" t="s">
        <v>15</v>
      </c>
      <c r="E258" s="14" t="s">
        <v>56</v>
      </c>
      <c r="F258" s="15">
        <v>43087</v>
      </c>
      <c r="G258" s="16">
        <v>0.06</v>
      </c>
      <c r="H258" s="15">
        <v>43178</v>
      </c>
      <c r="I258" s="16">
        <v>0.06</v>
      </c>
      <c r="J258" s="15">
        <v>43269</v>
      </c>
      <c r="K258" s="16">
        <v>0.06</v>
      </c>
      <c r="L258" s="15">
        <v>43360</v>
      </c>
      <c r="M258" s="16">
        <v>0.06</v>
      </c>
      <c r="N258" s="17">
        <v>43452</v>
      </c>
      <c r="O258" s="16">
        <v>0.06</v>
      </c>
      <c r="P258" s="18">
        <f t="shared" si="6"/>
        <v>0.3</v>
      </c>
    </row>
    <row r="259" spans="2:16" x14ac:dyDescent="0.25">
      <c r="B259" s="12" t="s">
        <v>453</v>
      </c>
      <c r="C259" s="13" t="s">
        <v>454</v>
      </c>
      <c r="D259" s="14" t="s">
        <v>24</v>
      </c>
      <c r="E259" s="14" t="s">
        <v>16</v>
      </c>
      <c r="F259" s="15">
        <v>43242</v>
      </c>
      <c r="G259" s="16">
        <v>0.65</v>
      </c>
      <c r="H259" s="15"/>
      <c r="I259" s="16"/>
      <c r="J259" s="15"/>
      <c r="K259" s="16"/>
      <c r="L259" s="15"/>
      <c r="M259" s="63"/>
      <c r="N259" s="17"/>
      <c r="O259" s="16"/>
      <c r="P259" s="18">
        <f t="shared" si="6"/>
        <v>0.65</v>
      </c>
    </row>
    <row r="260" spans="2:16" x14ac:dyDescent="0.25">
      <c r="B260" s="12" t="s">
        <v>455</v>
      </c>
      <c r="C260" s="13" t="s">
        <v>456</v>
      </c>
      <c r="D260" s="14" t="s">
        <v>15</v>
      </c>
      <c r="E260" s="14" t="s">
        <v>200</v>
      </c>
      <c r="F260" s="29">
        <v>43181</v>
      </c>
      <c r="G260" s="71">
        <v>5.3953872499999997</v>
      </c>
      <c r="H260" s="15"/>
      <c r="I260" s="16"/>
      <c r="J260" s="15"/>
      <c r="K260" s="16"/>
      <c r="L260" s="15"/>
      <c r="M260" s="63"/>
      <c r="N260" s="17"/>
      <c r="O260" s="16"/>
      <c r="P260" s="18">
        <f t="shared" si="6"/>
        <v>5.3953872499999997</v>
      </c>
    </row>
    <row r="261" spans="2:16" x14ac:dyDescent="0.25">
      <c r="B261" s="12" t="s">
        <v>457</v>
      </c>
      <c r="C261" s="13" t="s">
        <v>458</v>
      </c>
      <c r="D261" s="14" t="s">
        <v>15</v>
      </c>
      <c r="E261" s="14" t="s">
        <v>200</v>
      </c>
      <c r="F261" s="15">
        <v>43182</v>
      </c>
      <c r="G261" s="16">
        <v>13</v>
      </c>
      <c r="H261" s="15"/>
      <c r="I261" s="16"/>
      <c r="J261" s="15"/>
      <c r="K261" s="16"/>
      <c r="L261" s="15"/>
      <c r="M261" s="63"/>
      <c r="N261" s="17"/>
      <c r="O261" s="16"/>
      <c r="P261" s="18">
        <f t="shared" si="6"/>
        <v>13</v>
      </c>
    </row>
    <row r="262" spans="2:16" x14ac:dyDescent="0.25">
      <c r="B262" s="12" t="s">
        <v>459</v>
      </c>
      <c r="C262" s="13" t="s">
        <v>460</v>
      </c>
      <c r="D262" s="14" t="s">
        <v>15</v>
      </c>
      <c r="E262" s="14" t="s">
        <v>200</v>
      </c>
      <c r="F262" s="29">
        <v>43201</v>
      </c>
      <c r="G262" s="71">
        <v>9.0180165480000003</v>
      </c>
      <c r="H262" s="15"/>
      <c r="I262" s="16"/>
      <c r="J262" s="15"/>
      <c r="K262" s="16"/>
      <c r="L262" s="15"/>
      <c r="M262" s="63"/>
      <c r="N262" s="17"/>
      <c r="O262" s="16"/>
      <c r="P262" s="18">
        <f t="shared" si="6"/>
        <v>9.0180165480000003</v>
      </c>
    </row>
    <row r="263" spans="2:16" x14ac:dyDescent="0.25">
      <c r="B263" s="12" t="s">
        <v>461</v>
      </c>
      <c r="C263" s="13" t="s">
        <v>462</v>
      </c>
      <c r="D263" s="14" t="s">
        <v>15</v>
      </c>
      <c r="E263" s="14" t="s">
        <v>21</v>
      </c>
      <c r="F263" s="15">
        <v>43214</v>
      </c>
      <c r="G263" s="16">
        <v>5</v>
      </c>
      <c r="H263" s="15"/>
      <c r="I263" s="16"/>
      <c r="J263" s="15"/>
      <c r="K263" s="16"/>
      <c r="L263" s="15"/>
      <c r="M263" s="63"/>
      <c r="N263" s="17"/>
      <c r="O263" s="16"/>
      <c r="P263" s="18">
        <f t="shared" si="6"/>
        <v>5</v>
      </c>
    </row>
    <row r="264" spans="2:16" x14ac:dyDescent="0.25">
      <c r="B264" s="12" t="s">
        <v>463</v>
      </c>
      <c r="C264" s="13" t="s">
        <v>464</v>
      </c>
      <c r="D264" s="14" t="s">
        <v>15</v>
      </c>
      <c r="E264" s="14" t="s">
        <v>21</v>
      </c>
      <c r="F264" s="15">
        <v>43196</v>
      </c>
      <c r="G264" s="16">
        <v>22</v>
      </c>
      <c r="H264" s="15"/>
      <c r="I264" s="16"/>
      <c r="J264" s="15"/>
      <c r="K264" s="16"/>
      <c r="L264" s="15"/>
      <c r="M264" s="63"/>
      <c r="N264" s="17"/>
      <c r="O264" s="16"/>
      <c r="P264" s="18">
        <f t="shared" si="6"/>
        <v>22</v>
      </c>
    </row>
    <row r="265" spans="2:16" x14ac:dyDescent="0.25">
      <c r="B265" s="12" t="s">
        <v>465</v>
      </c>
      <c r="C265" s="13" t="s">
        <v>466</v>
      </c>
      <c r="D265" s="14" t="s">
        <v>24</v>
      </c>
      <c r="E265" s="14" t="s">
        <v>16</v>
      </c>
      <c r="F265" s="15">
        <v>43178</v>
      </c>
      <c r="G265" s="16">
        <v>0.1057</v>
      </c>
      <c r="H265" s="15">
        <v>43241</v>
      </c>
      <c r="I265" s="16">
        <v>0.13</v>
      </c>
      <c r="J265" s="15">
        <v>43332</v>
      </c>
      <c r="K265" s="16">
        <v>0.13</v>
      </c>
      <c r="L265" s="15">
        <v>43423</v>
      </c>
      <c r="M265" s="63">
        <v>0.13</v>
      </c>
      <c r="N265" s="17"/>
      <c r="O265" s="16"/>
      <c r="P265" s="18">
        <f t="shared" si="6"/>
        <v>0.49570000000000003</v>
      </c>
    </row>
    <row r="266" spans="2:16" x14ac:dyDescent="0.25">
      <c r="B266" s="12" t="s">
        <v>467</v>
      </c>
      <c r="C266" s="13" t="s">
        <v>468</v>
      </c>
      <c r="D266" s="14" t="s">
        <v>15</v>
      </c>
      <c r="E266" s="14" t="s">
        <v>200</v>
      </c>
      <c r="F266" s="15">
        <v>43242</v>
      </c>
      <c r="G266" s="16">
        <v>4</v>
      </c>
      <c r="H266" s="15"/>
      <c r="I266" s="16"/>
      <c r="J266" s="15"/>
      <c r="K266" s="16"/>
      <c r="L266" s="15"/>
      <c r="M266" s="63"/>
      <c r="N266" s="17"/>
      <c r="O266" s="16"/>
      <c r="P266" s="18">
        <f t="shared" si="6"/>
        <v>4</v>
      </c>
    </row>
    <row r="267" spans="2:16" x14ac:dyDescent="0.25">
      <c r="B267" s="12" t="s">
        <v>469</v>
      </c>
      <c r="C267" s="13" t="s">
        <v>470</v>
      </c>
      <c r="D267" s="14" t="s">
        <v>15</v>
      </c>
      <c r="E267" s="14" t="s">
        <v>16</v>
      </c>
      <c r="F267" s="15"/>
      <c r="G267" s="16"/>
      <c r="H267" s="15"/>
      <c r="I267" s="16"/>
      <c r="J267" s="15"/>
      <c r="K267" s="16"/>
      <c r="L267" s="15"/>
      <c r="M267" s="63"/>
      <c r="N267" s="17"/>
      <c r="O267" s="16"/>
      <c r="P267" s="18">
        <f t="shared" si="6"/>
        <v>0</v>
      </c>
    </row>
    <row r="268" spans="2:16" x14ac:dyDescent="0.25">
      <c r="B268" s="12" t="s">
        <v>471</v>
      </c>
      <c r="C268" s="13" t="s">
        <v>472</v>
      </c>
      <c r="D268" s="14" t="s">
        <v>15</v>
      </c>
      <c r="E268" s="14" t="s">
        <v>16</v>
      </c>
      <c r="F268" s="15">
        <v>43264</v>
      </c>
      <c r="G268" s="16">
        <v>0.2</v>
      </c>
      <c r="H268" s="15">
        <v>43452</v>
      </c>
      <c r="I268" s="16">
        <v>0.2</v>
      </c>
      <c r="J268" s="15"/>
      <c r="K268" s="16"/>
      <c r="L268" s="15"/>
      <c r="M268" s="63"/>
      <c r="N268" s="17"/>
      <c r="O268" s="16"/>
      <c r="P268" s="18">
        <f t="shared" si="6"/>
        <v>0.4</v>
      </c>
    </row>
    <row r="269" spans="2:16" x14ac:dyDescent="0.25">
      <c r="B269" s="12" t="s">
        <v>473</v>
      </c>
      <c r="C269" s="13" t="s">
        <v>474</v>
      </c>
      <c r="D269" s="14" t="s">
        <v>15</v>
      </c>
      <c r="E269" s="14" t="s">
        <v>475</v>
      </c>
      <c r="F269" s="29">
        <v>43223</v>
      </c>
      <c r="G269" s="71">
        <f>4.2*0.97320341</f>
        <v>4.0874543220000001</v>
      </c>
      <c r="H269" s="15">
        <v>43391</v>
      </c>
      <c r="I269" s="16">
        <v>3.9</v>
      </c>
      <c r="J269" s="15"/>
      <c r="K269" s="16"/>
      <c r="L269" s="15"/>
      <c r="M269" s="63"/>
      <c r="N269" s="17"/>
      <c r="O269" s="16"/>
      <c r="P269" s="18">
        <f t="shared" si="6"/>
        <v>7.9874543219999996</v>
      </c>
    </row>
    <row r="270" spans="2:16" x14ac:dyDescent="0.25">
      <c r="B270" s="12" t="s">
        <v>476</v>
      </c>
      <c r="C270" s="13" t="s">
        <v>477</v>
      </c>
      <c r="D270" s="14" t="s">
        <v>15</v>
      </c>
      <c r="E270" s="14" t="s">
        <v>200</v>
      </c>
      <c r="F270" s="15">
        <v>43201</v>
      </c>
      <c r="G270" s="16">
        <v>1.1499999999999999</v>
      </c>
      <c r="H270" s="15">
        <v>43392</v>
      </c>
      <c r="I270" s="16">
        <v>1.1499999999999999</v>
      </c>
      <c r="J270" s="15"/>
      <c r="K270" s="16"/>
      <c r="L270" s="15"/>
      <c r="M270" s="63"/>
      <c r="N270" s="17"/>
      <c r="O270" s="16"/>
      <c r="P270" s="18">
        <f t="shared" si="6"/>
        <v>2.2999999999999998</v>
      </c>
    </row>
    <row r="271" spans="2:16" x14ac:dyDescent="0.25">
      <c r="B271" s="12" t="s">
        <v>478</v>
      </c>
      <c r="C271" s="13" t="s">
        <v>479</v>
      </c>
      <c r="D271" s="14" t="s">
        <v>15</v>
      </c>
      <c r="E271" s="14" t="s">
        <v>16</v>
      </c>
      <c r="F271" s="15">
        <v>43269</v>
      </c>
      <c r="G271" s="16">
        <v>0.14573700000000001</v>
      </c>
      <c r="H271" s="15">
        <v>43423</v>
      </c>
      <c r="I271" s="16">
        <v>7.8700000000000006E-2</v>
      </c>
      <c r="J271" s="15"/>
      <c r="K271" s="16"/>
      <c r="L271" s="15"/>
      <c r="M271" s="63"/>
      <c r="N271" s="17"/>
      <c r="O271" s="16"/>
      <c r="P271" s="18">
        <f t="shared" si="6"/>
        <v>0.224437</v>
      </c>
    </row>
    <row r="272" spans="2:16" x14ac:dyDescent="0.25">
      <c r="B272" s="19" t="s">
        <v>576</v>
      </c>
      <c r="C272" s="20" t="s">
        <v>603</v>
      </c>
      <c r="D272" s="21" t="s">
        <v>55</v>
      </c>
      <c r="E272" s="22" t="s">
        <v>56</v>
      </c>
      <c r="F272" s="23">
        <v>43130</v>
      </c>
      <c r="G272" s="24">
        <v>0.62</v>
      </c>
      <c r="H272" s="23">
        <v>43224</v>
      </c>
      <c r="I272" s="24">
        <v>0.62</v>
      </c>
      <c r="J272" s="23">
        <v>43311</v>
      </c>
      <c r="K272" s="24">
        <v>0.62</v>
      </c>
      <c r="L272" s="23">
        <v>43403</v>
      </c>
      <c r="M272" s="77">
        <v>0.77</v>
      </c>
      <c r="N272" s="25"/>
      <c r="O272" s="24"/>
      <c r="P272" s="26">
        <f t="shared" si="6"/>
        <v>2.63</v>
      </c>
    </row>
    <row r="273" spans="2:16" x14ac:dyDescent="0.25">
      <c r="B273" s="12" t="s">
        <v>480</v>
      </c>
      <c r="C273" s="13" t="s">
        <v>481</v>
      </c>
      <c r="D273" s="14" t="s">
        <v>237</v>
      </c>
      <c r="E273" s="14" t="s">
        <v>16</v>
      </c>
      <c r="F273" s="29">
        <v>43266</v>
      </c>
      <c r="G273" s="71">
        <f>0.2371*0.99210998</f>
        <v>0.235229276258</v>
      </c>
      <c r="H273" s="15"/>
      <c r="I273" s="16"/>
      <c r="J273" s="15"/>
      <c r="K273" s="16"/>
      <c r="L273" s="15"/>
      <c r="M273" s="63"/>
      <c r="N273" s="17"/>
      <c r="O273" s="16"/>
      <c r="P273" s="18">
        <f t="shared" si="6"/>
        <v>0.235229276258</v>
      </c>
    </row>
    <row r="274" spans="2:16" x14ac:dyDescent="0.25">
      <c r="B274" s="12" t="s">
        <v>482</v>
      </c>
      <c r="C274" s="13" t="s">
        <v>483</v>
      </c>
      <c r="D274" s="14" t="s">
        <v>15</v>
      </c>
      <c r="E274" s="14" t="s">
        <v>21</v>
      </c>
      <c r="F274" s="15">
        <v>43248</v>
      </c>
      <c r="G274" s="16">
        <v>7.5</v>
      </c>
      <c r="H274" s="15"/>
      <c r="I274" s="16"/>
      <c r="J274" s="15"/>
      <c r="K274" s="16"/>
      <c r="L274" s="15"/>
      <c r="M274" s="63"/>
      <c r="N274" s="17"/>
      <c r="O274" s="16"/>
      <c r="P274" s="18">
        <f t="shared" ref="P274:P310" si="7">G274+I274+K274+M274+O274</f>
        <v>7.5</v>
      </c>
    </row>
    <row r="275" spans="2:16" x14ac:dyDescent="0.25">
      <c r="B275" s="12" t="s">
        <v>484</v>
      </c>
      <c r="C275" s="13" t="s">
        <v>485</v>
      </c>
      <c r="D275" s="14" t="s">
        <v>15</v>
      </c>
      <c r="E275" s="14" t="s">
        <v>16</v>
      </c>
      <c r="F275" s="15">
        <v>43122</v>
      </c>
      <c r="G275" s="16">
        <v>0.15</v>
      </c>
      <c r="H275" s="15"/>
      <c r="I275" s="16"/>
      <c r="J275" s="15"/>
      <c r="K275" s="16"/>
      <c r="L275" s="15"/>
      <c r="M275" s="63"/>
      <c r="N275" s="17"/>
      <c r="O275" s="16"/>
      <c r="P275" s="18">
        <f t="shared" si="7"/>
        <v>0.15</v>
      </c>
    </row>
    <row r="276" spans="2:16" x14ac:dyDescent="0.25">
      <c r="B276" s="12" t="s">
        <v>486</v>
      </c>
      <c r="C276" s="13" t="s">
        <v>487</v>
      </c>
      <c r="D276" s="14" t="s">
        <v>15</v>
      </c>
      <c r="E276" s="14" t="s">
        <v>16</v>
      </c>
      <c r="F276" s="15">
        <v>43241</v>
      </c>
      <c r="G276" s="16">
        <v>1.4</v>
      </c>
      <c r="H276" s="15"/>
      <c r="I276" s="16"/>
      <c r="J276" s="15"/>
      <c r="K276" s="16"/>
      <c r="L276" s="15"/>
      <c r="M276" s="63"/>
      <c r="N276" s="17"/>
      <c r="O276" s="16"/>
      <c r="P276" s="18">
        <f t="shared" si="7"/>
        <v>1.4</v>
      </c>
    </row>
    <row r="277" spans="2:16" x14ac:dyDescent="0.25">
      <c r="B277" s="12" t="s">
        <v>488</v>
      </c>
      <c r="C277" s="13" t="s">
        <v>489</v>
      </c>
      <c r="D277" s="14" t="s">
        <v>24</v>
      </c>
      <c r="E277" s="14" t="s">
        <v>16</v>
      </c>
      <c r="F277" s="15">
        <v>43088</v>
      </c>
      <c r="G277" s="16">
        <v>0.62</v>
      </c>
      <c r="H277" s="15">
        <v>43178</v>
      </c>
      <c r="I277" s="16">
        <v>0.62</v>
      </c>
      <c r="J277" s="15">
        <v>43262</v>
      </c>
      <c r="K277" s="16">
        <v>0.62</v>
      </c>
      <c r="L277" s="15">
        <v>43368</v>
      </c>
      <c r="M277" s="63">
        <v>0.64</v>
      </c>
      <c r="N277" s="17">
        <v>43452</v>
      </c>
      <c r="O277" s="16">
        <v>0.64</v>
      </c>
      <c r="P277" s="18">
        <f t="shared" si="7"/>
        <v>3.14</v>
      </c>
    </row>
    <row r="278" spans="2:16" x14ac:dyDescent="0.25">
      <c r="B278" s="12" t="s">
        <v>490</v>
      </c>
      <c r="C278" s="13" t="s">
        <v>491</v>
      </c>
      <c r="D278" s="14" t="s">
        <v>15</v>
      </c>
      <c r="E278" s="14" t="s">
        <v>16</v>
      </c>
      <c r="F278" s="15">
        <v>43241</v>
      </c>
      <c r="G278" s="16">
        <v>0.11</v>
      </c>
      <c r="H278" s="15"/>
      <c r="I278" s="16"/>
      <c r="J278" s="15"/>
      <c r="K278" s="16"/>
      <c r="L278" s="15"/>
      <c r="M278" s="63"/>
      <c r="N278" s="17"/>
      <c r="O278" s="16"/>
      <c r="P278" s="18">
        <f t="shared" si="7"/>
        <v>0.11</v>
      </c>
    </row>
    <row r="279" spans="2:16" x14ac:dyDescent="0.25">
      <c r="B279" s="12" t="s">
        <v>492</v>
      </c>
      <c r="C279" s="13" t="s">
        <v>493</v>
      </c>
      <c r="D279" s="14" t="s">
        <v>15</v>
      </c>
      <c r="E279" s="14" t="s">
        <v>21</v>
      </c>
      <c r="F279" s="15">
        <v>43227</v>
      </c>
      <c r="G279" s="16">
        <v>0.65</v>
      </c>
      <c r="H279" s="15"/>
      <c r="I279" s="16"/>
      <c r="J279" s="15"/>
      <c r="K279" s="16"/>
      <c r="L279" s="15"/>
      <c r="M279" s="63"/>
      <c r="N279" s="17"/>
      <c r="O279" s="16"/>
      <c r="P279" s="18">
        <f t="shared" si="7"/>
        <v>0.65</v>
      </c>
    </row>
    <row r="280" spans="2:16" x14ac:dyDescent="0.25">
      <c r="B280" s="12" t="s">
        <v>494</v>
      </c>
      <c r="C280" s="13" t="s">
        <v>495</v>
      </c>
      <c r="D280" s="14" t="s">
        <v>27</v>
      </c>
      <c r="E280" s="14" t="s">
        <v>16</v>
      </c>
      <c r="F280" s="15">
        <v>43217</v>
      </c>
      <c r="G280" s="16">
        <v>1.18</v>
      </c>
      <c r="H280" s="15"/>
      <c r="I280" s="16"/>
      <c r="J280" s="15"/>
      <c r="K280" s="16"/>
      <c r="L280" s="15"/>
      <c r="M280" s="63"/>
      <c r="N280" s="17"/>
      <c r="O280" s="16"/>
      <c r="P280" s="18">
        <f t="shared" si="7"/>
        <v>1.18</v>
      </c>
    </row>
    <row r="281" spans="2:16" x14ac:dyDescent="0.25">
      <c r="B281" s="12" t="s">
        <v>496</v>
      </c>
      <c r="C281" s="13" t="s">
        <v>497</v>
      </c>
      <c r="D281" s="14" t="s">
        <v>27</v>
      </c>
      <c r="E281" s="14" t="s">
        <v>16</v>
      </c>
      <c r="F281" s="15">
        <v>43220</v>
      </c>
      <c r="G281" s="16">
        <v>0.375</v>
      </c>
      <c r="H281" s="15">
        <v>43336</v>
      </c>
      <c r="I281" s="16">
        <v>0.35</v>
      </c>
      <c r="J281" s="15"/>
      <c r="K281" s="16"/>
      <c r="L281" s="15"/>
      <c r="M281" s="63"/>
      <c r="N281" s="17"/>
      <c r="O281" s="16"/>
      <c r="P281" s="18">
        <f t="shared" si="7"/>
        <v>0.72499999999999998</v>
      </c>
    </row>
    <row r="282" spans="2:16" x14ac:dyDescent="0.25">
      <c r="B282" s="12" t="s">
        <v>622</v>
      </c>
      <c r="C282" s="13" t="s">
        <v>499</v>
      </c>
      <c r="D282" s="14" t="s">
        <v>15</v>
      </c>
      <c r="E282" s="14" t="s">
        <v>16</v>
      </c>
      <c r="F282" s="15">
        <v>43186</v>
      </c>
      <c r="G282" s="16">
        <v>5.4</v>
      </c>
      <c r="H282" s="15">
        <v>43248</v>
      </c>
      <c r="I282" s="16">
        <v>5.4</v>
      </c>
      <c r="J282" s="15"/>
      <c r="K282" s="16"/>
      <c r="L282" s="15"/>
      <c r="M282" s="63"/>
      <c r="N282" s="17"/>
      <c r="O282" s="16"/>
      <c r="P282" s="18">
        <f t="shared" si="7"/>
        <v>10.8</v>
      </c>
    </row>
    <row r="283" spans="2:16" x14ac:dyDescent="0.25">
      <c r="B283" s="12" t="s">
        <v>500</v>
      </c>
      <c r="C283" s="13" t="s">
        <v>501</v>
      </c>
      <c r="D283" s="14" t="s">
        <v>15</v>
      </c>
      <c r="E283" s="14" t="s">
        <v>16</v>
      </c>
      <c r="F283" s="15">
        <v>43213</v>
      </c>
      <c r="G283" s="16">
        <v>0.32</v>
      </c>
      <c r="H283" s="15"/>
      <c r="I283" s="16"/>
      <c r="J283" s="15"/>
      <c r="K283" s="16"/>
      <c r="L283" s="15"/>
      <c r="M283" s="63"/>
      <c r="N283" s="17"/>
      <c r="O283" s="16"/>
      <c r="P283" s="18">
        <f t="shared" si="7"/>
        <v>0.32</v>
      </c>
    </row>
    <row r="284" spans="2:16" x14ac:dyDescent="0.25">
      <c r="B284" s="12" t="s">
        <v>504</v>
      </c>
      <c r="C284" s="13" t="s">
        <v>505</v>
      </c>
      <c r="D284" s="14" t="s">
        <v>15</v>
      </c>
      <c r="E284" s="14" t="s">
        <v>16</v>
      </c>
      <c r="F284" s="15">
        <v>43146</v>
      </c>
      <c r="G284" s="16">
        <v>0.35849999999999999</v>
      </c>
      <c r="H284" s="15">
        <v>43223</v>
      </c>
      <c r="I284" s="16">
        <v>0.38719999999999999</v>
      </c>
      <c r="J284" s="15">
        <v>43314</v>
      </c>
      <c r="K284" s="16">
        <v>0.38719999999999999</v>
      </c>
      <c r="L284" s="15">
        <v>43405</v>
      </c>
      <c r="M284" s="63">
        <v>0.38719999999999999</v>
      </c>
      <c r="N284" s="17"/>
      <c r="O284" s="16"/>
      <c r="P284" s="18">
        <f t="shared" si="7"/>
        <v>1.5201</v>
      </c>
    </row>
    <row r="285" spans="2:16" x14ac:dyDescent="0.25">
      <c r="B285" s="12" t="s">
        <v>506</v>
      </c>
      <c r="C285" s="13" t="s">
        <v>507</v>
      </c>
      <c r="D285" s="14" t="s">
        <v>15</v>
      </c>
      <c r="E285" s="14" t="s">
        <v>77</v>
      </c>
      <c r="F285" s="15">
        <v>43146</v>
      </c>
      <c r="G285" s="16">
        <v>31.55</v>
      </c>
      <c r="H285" s="15">
        <v>43223</v>
      </c>
      <c r="I285" s="16">
        <v>33.409999999999997</v>
      </c>
      <c r="J285" s="15">
        <v>43314</v>
      </c>
      <c r="K285" s="16">
        <v>34.35</v>
      </c>
      <c r="L285" s="15">
        <v>43405</v>
      </c>
      <c r="M285" s="63">
        <v>33.93</v>
      </c>
      <c r="N285" s="17"/>
      <c r="O285" s="16"/>
      <c r="P285" s="18">
        <f t="shared" si="7"/>
        <v>133.24</v>
      </c>
    </row>
    <row r="286" spans="2:16" x14ac:dyDescent="0.25">
      <c r="B286" s="19" t="s">
        <v>569</v>
      </c>
      <c r="C286" s="20" t="s">
        <v>596</v>
      </c>
      <c r="D286" s="21" t="s">
        <v>55</v>
      </c>
      <c r="E286" s="22" t="s">
        <v>56</v>
      </c>
      <c r="F286" s="23">
        <v>43158</v>
      </c>
      <c r="G286" s="24">
        <v>0.73</v>
      </c>
      <c r="H286" s="23">
        <v>43250</v>
      </c>
      <c r="I286" s="24">
        <v>0.73</v>
      </c>
      <c r="J286" s="23">
        <v>43342</v>
      </c>
      <c r="K286" s="24">
        <v>0.8</v>
      </c>
      <c r="L286" s="23">
        <v>43433</v>
      </c>
      <c r="M286" s="77">
        <v>0.8</v>
      </c>
      <c r="N286" s="25"/>
      <c r="O286" s="24"/>
      <c r="P286" s="26">
        <f t="shared" si="7"/>
        <v>3.0599999999999996</v>
      </c>
    </row>
    <row r="287" spans="2:16" x14ac:dyDescent="0.25">
      <c r="B287" s="12" t="s">
        <v>508</v>
      </c>
      <c r="C287" s="13" t="s">
        <v>509</v>
      </c>
      <c r="D287" s="14" t="s">
        <v>15</v>
      </c>
      <c r="E287" s="14" t="s">
        <v>16</v>
      </c>
      <c r="F287" s="15">
        <v>43241</v>
      </c>
      <c r="G287" s="16">
        <v>0.14499999999999999</v>
      </c>
      <c r="H287" s="15"/>
      <c r="I287" s="16"/>
      <c r="J287" s="15"/>
      <c r="K287" s="16"/>
      <c r="L287" s="15"/>
      <c r="M287" s="63"/>
      <c r="N287" s="17"/>
      <c r="O287" s="16"/>
      <c r="P287" s="18">
        <f t="shared" si="7"/>
        <v>0.14499999999999999</v>
      </c>
    </row>
    <row r="288" spans="2:16" x14ac:dyDescent="0.25">
      <c r="B288" s="19" t="s">
        <v>573</v>
      </c>
      <c r="C288" s="20" t="s">
        <v>600</v>
      </c>
      <c r="D288" s="21" t="s">
        <v>55</v>
      </c>
      <c r="E288" s="22" t="s">
        <v>56</v>
      </c>
      <c r="F288" s="23">
        <v>43146</v>
      </c>
      <c r="G288" s="24">
        <v>0.7</v>
      </c>
      <c r="H288" s="23">
        <v>43237</v>
      </c>
      <c r="I288" s="24">
        <v>0.7</v>
      </c>
      <c r="J288" s="23">
        <v>43328</v>
      </c>
      <c r="K288" s="24">
        <v>0.7</v>
      </c>
      <c r="L288" s="23">
        <v>43419</v>
      </c>
      <c r="M288" s="77">
        <v>0.73499999999999999</v>
      </c>
      <c r="N288" s="25"/>
      <c r="O288" s="24"/>
      <c r="P288" s="26">
        <f t="shared" si="7"/>
        <v>2.8349999999999995</v>
      </c>
    </row>
    <row r="289" spans="2:16" x14ac:dyDescent="0.25">
      <c r="B289" s="12" t="s">
        <v>510</v>
      </c>
      <c r="C289" s="13" t="s">
        <v>511</v>
      </c>
      <c r="D289" s="14" t="s">
        <v>15</v>
      </c>
      <c r="E289" s="14" t="s">
        <v>77</v>
      </c>
      <c r="F289" s="15">
        <v>43090</v>
      </c>
      <c r="G289" s="16">
        <v>13.24</v>
      </c>
      <c r="H289" s="15">
        <v>43272</v>
      </c>
      <c r="I289" s="16">
        <v>26.49</v>
      </c>
      <c r="J289" s="15">
        <v>43454</v>
      </c>
      <c r="K289" s="16">
        <v>13.76</v>
      </c>
      <c r="L289" s="15"/>
      <c r="M289" s="63"/>
      <c r="N289" s="17"/>
      <c r="O289" s="16"/>
      <c r="P289" s="18">
        <f t="shared" si="7"/>
        <v>53.489999999999995</v>
      </c>
    </row>
    <row r="290" spans="2:16" x14ac:dyDescent="0.25">
      <c r="B290" s="19" t="s">
        <v>552</v>
      </c>
      <c r="C290" s="20" t="s">
        <v>579</v>
      </c>
      <c r="D290" s="21" t="s">
        <v>55</v>
      </c>
      <c r="E290" s="22" t="s">
        <v>56</v>
      </c>
      <c r="F290" s="23">
        <v>43167</v>
      </c>
      <c r="G290" s="24">
        <v>0.75</v>
      </c>
      <c r="H290" s="23">
        <v>43266</v>
      </c>
      <c r="I290" s="24">
        <v>0.9</v>
      </c>
      <c r="J290" s="23">
        <v>43349</v>
      </c>
      <c r="K290" s="24">
        <v>0.9</v>
      </c>
      <c r="L290" s="23">
        <v>43434</v>
      </c>
      <c r="M290" s="77">
        <v>0.9</v>
      </c>
      <c r="N290" s="25"/>
      <c r="O290" s="24"/>
      <c r="P290" s="26">
        <f t="shared" si="7"/>
        <v>3.4499999999999997</v>
      </c>
    </row>
    <row r="291" spans="2:16" x14ac:dyDescent="0.25">
      <c r="B291" s="19" t="s">
        <v>574</v>
      </c>
      <c r="C291" s="20" t="s">
        <v>601</v>
      </c>
      <c r="D291" s="21" t="s">
        <v>55</v>
      </c>
      <c r="E291" s="22" t="s">
        <v>56</v>
      </c>
      <c r="F291" s="23">
        <v>43187</v>
      </c>
      <c r="G291" s="24">
        <v>0.3</v>
      </c>
      <c r="H291" s="23">
        <v>43279</v>
      </c>
      <c r="I291" s="24">
        <v>0.3</v>
      </c>
      <c r="J291" s="23">
        <v>43370</v>
      </c>
      <c r="K291" s="24">
        <v>0.37</v>
      </c>
      <c r="L291" s="23">
        <v>43462</v>
      </c>
      <c r="M291" s="77">
        <v>0.37</v>
      </c>
      <c r="N291" s="25"/>
      <c r="O291" s="24"/>
      <c r="P291" s="26">
        <f t="shared" si="7"/>
        <v>1.3399999999999999</v>
      </c>
    </row>
    <row r="292" spans="2:16" x14ac:dyDescent="0.25">
      <c r="B292" s="12" t="s">
        <v>512</v>
      </c>
      <c r="C292" s="13" t="s">
        <v>513</v>
      </c>
      <c r="D292" s="14" t="s">
        <v>24</v>
      </c>
      <c r="E292" s="14" t="s">
        <v>16</v>
      </c>
      <c r="F292" s="15">
        <v>43255</v>
      </c>
      <c r="G292" s="16">
        <v>1.25</v>
      </c>
      <c r="H292" s="15"/>
      <c r="I292" s="16"/>
      <c r="J292" s="15"/>
      <c r="K292" s="16"/>
      <c r="L292" s="15"/>
      <c r="M292" s="63"/>
      <c r="N292" s="17"/>
      <c r="O292" s="16"/>
      <c r="P292" s="18">
        <f t="shared" si="7"/>
        <v>1.25</v>
      </c>
    </row>
    <row r="293" spans="2:16" x14ac:dyDescent="0.25">
      <c r="B293" s="12" t="s">
        <v>514</v>
      </c>
      <c r="C293" s="13" t="s">
        <v>515</v>
      </c>
      <c r="D293" s="14" t="s">
        <v>24</v>
      </c>
      <c r="E293" s="14" t="s">
        <v>16</v>
      </c>
      <c r="F293" s="15"/>
      <c r="G293" s="16"/>
      <c r="H293" s="15"/>
      <c r="I293" s="16"/>
      <c r="J293" s="15"/>
      <c r="K293" s="16"/>
      <c r="L293" s="15"/>
      <c r="M293" s="63"/>
      <c r="N293" s="17"/>
      <c r="O293" s="16"/>
      <c r="P293" s="18">
        <f t="shared" si="7"/>
        <v>0</v>
      </c>
    </row>
    <row r="294" spans="2:16" x14ac:dyDescent="0.25">
      <c r="B294" s="12" t="s">
        <v>516</v>
      </c>
      <c r="C294" s="13" t="s">
        <v>517</v>
      </c>
      <c r="D294" s="14" t="s">
        <v>24</v>
      </c>
      <c r="E294" s="14" t="s">
        <v>16</v>
      </c>
      <c r="F294" s="15">
        <v>43234</v>
      </c>
      <c r="G294" s="16">
        <v>0.84</v>
      </c>
      <c r="H294" s="15"/>
      <c r="I294" s="16"/>
      <c r="J294" s="15"/>
      <c r="K294" s="16"/>
      <c r="L294" s="15"/>
      <c r="M294" s="63"/>
      <c r="N294" s="17"/>
      <c r="O294" s="16"/>
      <c r="P294" s="18">
        <f t="shared" si="7"/>
        <v>0.84</v>
      </c>
    </row>
    <row r="295" spans="2:16" x14ac:dyDescent="0.25">
      <c r="B295" s="19" t="s">
        <v>518</v>
      </c>
      <c r="C295" s="20" t="s">
        <v>519</v>
      </c>
      <c r="D295" s="21" t="s">
        <v>55</v>
      </c>
      <c r="E295" s="22" t="s">
        <v>56</v>
      </c>
      <c r="F295" s="23">
        <v>43199</v>
      </c>
      <c r="G295" s="24">
        <v>0.59</v>
      </c>
      <c r="H295" s="23">
        <v>43290</v>
      </c>
      <c r="I295" s="24">
        <v>0.59</v>
      </c>
      <c r="J295" s="23">
        <v>43382</v>
      </c>
      <c r="K295" s="24">
        <v>0.60250000000000004</v>
      </c>
      <c r="L295" s="23">
        <v>43474</v>
      </c>
      <c r="M295" s="77">
        <v>0.60250000000000004</v>
      </c>
      <c r="N295" s="25"/>
      <c r="O295" s="24"/>
      <c r="P295" s="26">
        <f t="shared" si="7"/>
        <v>2.3849999999999998</v>
      </c>
    </row>
    <row r="296" spans="2:16" x14ac:dyDescent="0.25">
      <c r="B296" s="12" t="s">
        <v>520</v>
      </c>
      <c r="C296" s="13" t="s">
        <v>521</v>
      </c>
      <c r="D296" s="14" t="s">
        <v>24</v>
      </c>
      <c r="E296" s="14" t="s">
        <v>16</v>
      </c>
      <c r="F296" s="15">
        <v>43214</v>
      </c>
      <c r="G296" s="16">
        <v>1.76</v>
      </c>
      <c r="H296" s="15">
        <v>43410</v>
      </c>
      <c r="I296" s="16">
        <v>0.75</v>
      </c>
      <c r="J296" s="15"/>
      <c r="K296" s="16"/>
      <c r="L296" s="15"/>
      <c r="M296" s="63"/>
      <c r="N296" s="17"/>
      <c r="O296" s="16"/>
      <c r="P296" s="18">
        <f t="shared" si="7"/>
        <v>2.5099999999999998</v>
      </c>
    </row>
    <row r="297" spans="2:16" x14ac:dyDescent="0.25">
      <c r="B297" s="19" t="s">
        <v>522</v>
      </c>
      <c r="C297" s="20" t="s">
        <v>523</v>
      </c>
      <c r="D297" s="21" t="s">
        <v>55</v>
      </c>
      <c r="E297" s="22" t="s">
        <v>56</v>
      </c>
      <c r="F297" s="23">
        <v>43146</v>
      </c>
      <c r="G297" s="24">
        <v>0.21</v>
      </c>
      <c r="H297" s="23">
        <v>43237</v>
      </c>
      <c r="I297" s="24">
        <v>0.21</v>
      </c>
      <c r="J297" s="23">
        <v>43328</v>
      </c>
      <c r="K297" s="24">
        <v>0.21</v>
      </c>
      <c r="L297" s="23">
        <v>43419</v>
      </c>
      <c r="M297" s="77">
        <v>0.25</v>
      </c>
      <c r="N297" s="25"/>
      <c r="O297" s="24"/>
      <c r="P297" s="26">
        <f t="shared" si="7"/>
        <v>0.88</v>
      </c>
    </row>
    <row r="298" spans="2:16" x14ac:dyDescent="0.25">
      <c r="B298" s="12" t="s">
        <v>524</v>
      </c>
      <c r="C298" s="13" t="s">
        <v>525</v>
      </c>
      <c r="D298" s="14" t="s">
        <v>24</v>
      </c>
      <c r="E298" s="14" t="s">
        <v>16</v>
      </c>
      <c r="F298" s="15">
        <v>43210</v>
      </c>
      <c r="G298" s="16">
        <v>0.45</v>
      </c>
      <c r="H298" s="15"/>
      <c r="I298" s="16"/>
      <c r="J298" s="15"/>
      <c r="K298" s="16"/>
      <c r="L298" s="15"/>
      <c r="M298" s="63"/>
      <c r="N298" s="17"/>
      <c r="O298" s="16"/>
      <c r="P298" s="18">
        <f t="shared" si="7"/>
        <v>0.45</v>
      </c>
    </row>
    <row r="299" spans="2:16" x14ac:dyDescent="0.25">
      <c r="B299" s="12" t="s">
        <v>526</v>
      </c>
      <c r="C299" s="13" t="s">
        <v>527</v>
      </c>
      <c r="D299" s="14" t="s">
        <v>15</v>
      </c>
      <c r="E299" s="14" t="s">
        <v>77</v>
      </c>
      <c r="F299" s="15">
        <v>43258</v>
      </c>
      <c r="G299" s="16">
        <v>9.0938999999999997</v>
      </c>
      <c r="H299" s="15">
        <v>43426</v>
      </c>
      <c r="I299" s="16">
        <v>4.3128271999999992</v>
      </c>
      <c r="J299" s="15"/>
      <c r="K299" s="16"/>
      <c r="L299" s="15"/>
      <c r="M299" s="63"/>
      <c r="N299" s="17"/>
      <c r="O299" s="16"/>
      <c r="P299" s="18">
        <f t="shared" si="7"/>
        <v>13.406727199999999</v>
      </c>
    </row>
    <row r="300" spans="2:16" x14ac:dyDescent="0.25">
      <c r="B300" s="12" t="s">
        <v>528</v>
      </c>
      <c r="C300" s="13" t="s">
        <v>529</v>
      </c>
      <c r="D300" s="14" t="s">
        <v>15</v>
      </c>
      <c r="E300" s="14" t="s">
        <v>16</v>
      </c>
      <c r="F300" s="15">
        <v>43224</v>
      </c>
      <c r="G300" s="16">
        <v>3.96</v>
      </c>
      <c r="H300" s="15"/>
      <c r="I300" s="16"/>
      <c r="J300" s="15"/>
      <c r="K300" s="16"/>
      <c r="L300" s="15"/>
      <c r="M300" s="63"/>
      <c r="N300" s="17"/>
      <c r="O300" s="16"/>
      <c r="P300" s="18">
        <f t="shared" si="7"/>
        <v>3.96</v>
      </c>
    </row>
    <row r="301" spans="2:16" x14ac:dyDescent="0.25">
      <c r="B301" s="12" t="s">
        <v>530</v>
      </c>
      <c r="C301" s="13" t="s">
        <v>531</v>
      </c>
      <c r="D301" s="14" t="s">
        <v>15</v>
      </c>
      <c r="E301" s="14" t="s">
        <v>200</v>
      </c>
      <c r="F301" s="15">
        <v>43196</v>
      </c>
      <c r="G301" s="16">
        <v>4.25</v>
      </c>
      <c r="H301" s="15"/>
      <c r="I301" s="16"/>
      <c r="J301" s="15"/>
      <c r="K301" s="16"/>
      <c r="L301" s="15"/>
      <c r="M301" s="63"/>
      <c r="N301" s="17"/>
      <c r="O301" s="16"/>
      <c r="P301" s="18">
        <f t="shared" si="7"/>
        <v>4.25</v>
      </c>
    </row>
    <row r="302" spans="2:16" x14ac:dyDescent="0.25">
      <c r="B302" s="12" t="s">
        <v>532</v>
      </c>
      <c r="C302" s="13" t="s">
        <v>533</v>
      </c>
      <c r="D302" s="14" t="s">
        <v>15</v>
      </c>
      <c r="E302" s="14" t="s">
        <v>16</v>
      </c>
      <c r="F302" s="15">
        <v>43230</v>
      </c>
      <c r="G302" s="16">
        <v>1.32</v>
      </c>
      <c r="H302" s="15"/>
      <c r="I302" s="16"/>
      <c r="J302" s="15"/>
      <c r="K302" s="16"/>
      <c r="L302" s="15"/>
      <c r="M302" s="63"/>
      <c r="N302" s="17"/>
      <c r="O302" s="16"/>
      <c r="P302" s="18">
        <f t="shared" si="7"/>
        <v>1.32</v>
      </c>
    </row>
    <row r="303" spans="2:16" x14ac:dyDescent="0.25">
      <c r="B303" s="12" t="s">
        <v>534</v>
      </c>
      <c r="C303" s="13" t="s">
        <v>535</v>
      </c>
      <c r="D303" s="14" t="s">
        <v>15</v>
      </c>
      <c r="E303" s="14" t="s">
        <v>16</v>
      </c>
      <c r="F303" s="15">
        <v>43210</v>
      </c>
      <c r="G303" s="16">
        <v>1.05</v>
      </c>
      <c r="H303" s="15"/>
      <c r="I303" s="16"/>
      <c r="J303" s="15"/>
      <c r="K303" s="16"/>
      <c r="L303" s="15"/>
      <c r="M303" s="63"/>
      <c r="N303" s="17"/>
      <c r="O303" s="16"/>
      <c r="P303" s="18">
        <f t="shared" si="7"/>
        <v>1.05</v>
      </c>
    </row>
    <row r="304" spans="2:16" x14ac:dyDescent="0.25">
      <c r="B304" s="19" t="s">
        <v>631</v>
      </c>
      <c r="C304" s="20" t="s">
        <v>587</v>
      </c>
      <c r="D304" s="21" t="s">
        <v>55</v>
      </c>
      <c r="E304" s="22" t="s">
        <v>56</v>
      </c>
      <c r="F304" s="23">
        <v>43167</v>
      </c>
      <c r="G304" s="24">
        <v>0.52</v>
      </c>
      <c r="H304" s="23">
        <v>43230</v>
      </c>
      <c r="I304" s="24">
        <v>0.52</v>
      </c>
      <c r="J304" s="23">
        <v>43321</v>
      </c>
      <c r="K304" s="24">
        <v>0.52</v>
      </c>
      <c r="L304" s="23">
        <v>43440</v>
      </c>
      <c r="M304" s="77">
        <v>0.52</v>
      </c>
      <c r="N304" s="25"/>
      <c r="O304" s="24"/>
      <c r="P304" s="26">
        <f t="shared" si="7"/>
        <v>2.08</v>
      </c>
    </row>
    <row r="305" spans="2:16" x14ac:dyDescent="0.25">
      <c r="B305" s="19" t="s">
        <v>536</v>
      </c>
      <c r="C305" s="20" t="s">
        <v>537</v>
      </c>
      <c r="D305" s="21" t="s">
        <v>55</v>
      </c>
      <c r="E305" s="22" t="s">
        <v>56</v>
      </c>
      <c r="F305" s="23">
        <v>43287</v>
      </c>
      <c r="G305" s="24">
        <v>0.84</v>
      </c>
      <c r="H305" s="23">
        <v>43441</v>
      </c>
      <c r="I305" s="24">
        <v>0.88</v>
      </c>
      <c r="J305" s="23"/>
      <c r="K305" s="24"/>
      <c r="L305" s="23"/>
      <c r="M305" s="77"/>
      <c r="N305" s="25"/>
      <c r="O305" s="24"/>
      <c r="P305" s="26">
        <f t="shared" si="7"/>
        <v>1.72</v>
      </c>
    </row>
    <row r="306" spans="2:16" x14ac:dyDescent="0.25">
      <c r="B306" s="19" t="s">
        <v>538</v>
      </c>
      <c r="C306" s="20" t="s">
        <v>539</v>
      </c>
      <c r="D306" s="21" t="s">
        <v>55</v>
      </c>
      <c r="E306" s="22" t="s">
        <v>56</v>
      </c>
      <c r="F306" s="23">
        <v>43132</v>
      </c>
      <c r="G306" s="24">
        <v>0.39</v>
      </c>
      <c r="H306" s="23">
        <v>43223</v>
      </c>
      <c r="I306" s="24">
        <v>0.39</v>
      </c>
      <c r="J306" s="23">
        <v>43321</v>
      </c>
      <c r="K306" s="24">
        <v>0.43</v>
      </c>
      <c r="L306" s="23">
        <v>43412</v>
      </c>
      <c r="M306" s="24">
        <v>0.43</v>
      </c>
      <c r="N306" s="25"/>
      <c r="O306" s="24"/>
      <c r="P306" s="26">
        <f t="shared" si="7"/>
        <v>1.64</v>
      </c>
    </row>
    <row r="307" spans="2:16" x14ac:dyDescent="0.25">
      <c r="B307" s="12" t="s">
        <v>540</v>
      </c>
      <c r="C307" s="13" t="s">
        <v>541</v>
      </c>
      <c r="D307" s="14" t="s">
        <v>15</v>
      </c>
      <c r="E307" s="14" t="s">
        <v>77</v>
      </c>
      <c r="F307" s="29">
        <v>43244</v>
      </c>
      <c r="G307" s="71">
        <f>4.3591*0.99227948</f>
        <v>4.3254454812679999</v>
      </c>
      <c r="H307" s="29">
        <v>43370</v>
      </c>
      <c r="I307" s="71">
        <f>1.85*0.99227948</f>
        <v>1.8357170380000001</v>
      </c>
      <c r="J307" s="15"/>
      <c r="K307" s="16"/>
      <c r="L307" s="15"/>
      <c r="M307" s="63"/>
      <c r="N307" s="17"/>
      <c r="O307" s="16"/>
      <c r="P307" s="18">
        <f t="shared" si="7"/>
        <v>6.1611625192680002</v>
      </c>
    </row>
    <row r="308" spans="2:16" x14ac:dyDescent="0.25">
      <c r="B308" s="12" t="s">
        <v>542</v>
      </c>
      <c r="C308" s="13" t="s">
        <v>543</v>
      </c>
      <c r="D308" s="14" t="s">
        <v>15</v>
      </c>
      <c r="E308" s="14" t="s">
        <v>16</v>
      </c>
      <c r="F308" s="15">
        <v>43213</v>
      </c>
      <c r="G308" s="16">
        <v>0.65</v>
      </c>
      <c r="H308" s="15">
        <v>43339</v>
      </c>
      <c r="I308" s="16">
        <v>0.34</v>
      </c>
      <c r="J308" s="15"/>
      <c r="K308" s="16"/>
      <c r="L308" s="15"/>
      <c r="M308" s="63"/>
      <c r="N308" s="17"/>
      <c r="O308" s="16"/>
      <c r="P308" s="18">
        <f t="shared" si="7"/>
        <v>0.99</v>
      </c>
    </row>
    <row r="309" spans="2:16" x14ac:dyDescent="0.25">
      <c r="B309" s="12" t="s">
        <v>544</v>
      </c>
      <c r="C309" s="13" t="s">
        <v>545</v>
      </c>
      <c r="D309" s="14" t="s">
        <v>15</v>
      </c>
      <c r="E309" s="14" t="s">
        <v>77</v>
      </c>
      <c r="F309" s="15">
        <v>43265</v>
      </c>
      <c r="G309" s="16">
        <v>37.299999999999997</v>
      </c>
      <c r="H309" s="15">
        <v>43377</v>
      </c>
      <c r="I309" s="16">
        <v>22.7</v>
      </c>
      <c r="J309" s="15"/>
      <c r="K309" s="16"/>
      <c r="L309" s="15"/>
      <c r="M309" s="63"/>
      <c r="N309" s="17"/>
      <c r="O309" s="16"/>
      <c r="P309" s="18">
        <f t="shared" si="7"/>
        <v>60</v>
      </c>
    </row>
    <row r="310" spans="2:16" x14ac:dyDescent="0.25">
      <c r="B310" s="12" t="s">
        <v>548</v>
      </c>
      <c r="C310" s="13" t="s">
        <v>549</v>
      </c>
      <c r="D310" s="14" t="s">
        <v>15</v>
      </c>
      <c r="E310" s="14" t="s">
        <v>21</v>
      </c>
      <c r="F310" s="15">
        <v>43196</v>
      </c>
      <c r="G310" s="16">
        <v>18</v>
      </c>
      <c r="H310" s="15"/>
      <c r="I310" s="16"/>
      <c r="J310" s="15"/>
      <c r="K310" s="16"/>
      <c r="L310" s="15"/>
      <c r="M310" s="63"/>
      <c r="N310" s="17"/>
      <c r="O310" s="16"/>
      <c r="P310" s="18">
        <f t="shared" si="7"/>
        <v>18</v>
      </c>
    </row>
  </sheetData>
  <sheetProtection password="C9E5" sheet="1" objects="1" scenarios="1"/>
  <sortState xmlns:xlrd2="http://schemas.microsoft.com/office/spreadsheetml/2017/richdata2" ref="B14:P310">
    <sortCondition ref="B14:B310"/>
  </sortState>
  <mergeCells count="2">
    <mergeCell ref="L9:M9"/>
    <mergeCell ref="F11:O11"/>
  </mergeCells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5"/>
  <dimension ref="A1:Q311"/>
  <sheetViews>
    <sheetView showGridLines="0" topLeftCell="A173" zoomScale="85" zoomScaleNormal="85" workbookViewId="0">
      <selection activeCell="B200" sqref="B200"/>
    </sheetView>
  </sheetViews>
  <sheetFormatPr defaultColWidth="0" defaultRowHeight="15" x14ac:dyDescent="0.25"/>
  <cols>
    <col min="1" max="1" width="3" customWidth="1"/>
    <col min="2" max="2" width="40.5703125" bestFit="1" customWidth="1"/>
    <col min="3" max="3" width="13.7109375" bestFit="1" customWidth="1"/>
    <col min="4" max="4" width="15.5703125" bestFit="1" customWidth="1"/>
    <col min="5" max="5" width="9.28515625" customWidth="1"/>
    <col min="6" max="6" width="9.7109375" customWidth="1"/>
    <col min="7" max="7" width="9.28515625" customWidth="1"/>
    <col min="8" max="8" width="9.7109375" customWidth="1"/>
    <col min="9" max="9" width="9.28515625" customWidth="1"/>
    <col min="10" max="10" width="9.5703125" bestFit="1" customWidth="1"/>
    <col min="11" max="11" width="9.28515625" customWidth="1"/>
    <col min="12" max="12" width="10" customWidth="1"/>
    <col min="13" max="13" width="9.28515625" customWidth="1"/>
    <col min="14" max="14" width="10" customWidth="1"/>
    <col min="15" max="15" width="9.28515625" customWidth="1"/>
    <col min="16" max="16" width="10" customWidth="1"/>
    <col min="17" max="17" width="3" customWidth="1"/>
    <col min="18" max="16384" width="9.28515625" hidden="1"/>
  </cols>
  <sheetData>
    <row r="1" spans="2:16" x14ac:dyDescent="0.25"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2:16" x14ac:dyDescent="0.25"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x14ac:dyDescent="0.25"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2:16" x14ac:dyDescent="0.25"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x14ac:dyDescent="0.25"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x14ac:dyDescent="0.25"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x14ac:dyDescent="0.25"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49.5" customHeight="1" x14ac:dyDescent="0.25"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spans="2:16" ht="15" customHeight="1" x14ac:dyDescent="0.25">
      <c r="L9" s="182" t="s">
        <v>0</v>
      </c>
      <c r="M9" s="182"/>
      <c r="N9" s="1"/>
      <c r="O9" s="2" t="s">
        <v>1</v>
      </c>
      <c r="P9" s="3">
        <v>43084</v>
      </c>
    </row>
    <row r="10" spans="2:16" ht="3.75" customHeight="1" x14ac:dyDescent="0.25">
      <c r="F10" s="1"/>
      <c r="G10" s="1"/>
      <c r="H10" s="1"/>
      <c r="I10" s="1"/>
      <c r="J10" s="1"/>
      <c r="K10" s="1"/>
      <c r="L10" s="1"/>
      <c r="M10" s="1"/>
      <c r="N10" s="1"/>
      <c r="O10" s="2"/>
      <c r="P10" s="3">
        <v>5</v>
      </c>
    </row>
    <row r="11" spans="2:16" ht="34.5" customHeight="1" x14ac:dyDescent="0.25">
      <c r="B11" s="4" t="s">
        <v>2</v>
      </c>
      <c r="C11" s="5"/>
      <c r="D11" s="5"/>
      <c r="E11" s="5"/>
      <c r="F11" s="183" t="s">
        <v>3</v>
      </c>
      <c r="G11" s="183"/>
      <c r="H11" s="183"/>
      <c r="I11" s="183"/>
      <c r="J11" s="183"/>
      <c r="K11" s="183"/>
      <c r="L11" s="183"/>
      <c r="M11" s="183"/>
      <c r="N11" s="183"/>
      <c r="O11" s="183"/>
      <c r="P11" s="6"/>
    </row>
    <row r="12" spans="2:16" x14ac:dyDescent="0.25">
      <c r="B12" s="7" t="s">
        <v>4</v>
      </c>
      <c r="C12" s="7" t="s">
        <v>5</v>
      </c>
      <c r="D12" s="7" t="s">
        <v>6</v>
      </c>
      <c r="E12" s="7" t="s">
        <v>7</v>
      </c>
      <c r="F12" s="8" t="s">
        <v>8</v>
      </c>
      <c r="G12" s="8"/>
      <c r="H12" s="8" t="s">
        <v>9</v>
      </c>
      <c r="I12" s="8"/>
      <c r="J12" s="8" t="s">
        <v>10</v>
      </c>
      <c r="K12" s="8"/>
      <c r="L12" s="8" t="s">
        <v>11</v>
      </c>
      <c r="M12" s="8"/>
      <c r="N12" s="8" t="s">
        <v>605</v>
      </c>
      <c r="O12" s="8"/>
      <c r="P12" s="8" t="s">
        <v>12</v>
      </c>
    </row>
    <row r="13" spans="2:16" ht="5.25" customHeight="1" x14ac:dyDescent="0.25">
      <c r="B13" s="9"/>
      <c r="C13" s="9"/>
      <c r="D13" s="9"/>
      <c r="E13" s="10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</row>
    <row r="14" spans="2:16" x14ac:dyDescent="0.25">
      <c r="B14" s="19" t="s">
        <v>557</v>
      </c>
      <c r="C14" s="20" t="s">
        <v>584</v>
      </c>
      <c r="D14" s="21" t="s">
        <v>55</v>
      </c>
      <c r="E14" s="22" t="s">
        <v>56</v>
      </c>
      <c r="F14" s="23">
        <v>42781</v>
      </c>
      <c r="G14" s="24">
        <v>1.175</v>
      </c>
      <c r="H14" s="23">
        <v>42872</v>
      </c>
      <c r="I14" s="24">
        <v>1.175</v>
      </c>
      <c r="J14" s="23">
        <v>42970</v>
      </c>
      <c r="K14" s="24">
        <v>1.175</v>
      </c>
      <c r="L14" s="23">
        <v>43061</v>
      </c>
      <c r="M14" s="77">
        <v>1.175</v>
      </c>
      <c r="N14" s="25"/>
      <c r="O14" s="24"/>
      <c r="P14" s="26">
        <f t="shared" ref="P14:P79" si="0">G14+I14+K14+M14+O14</f>
        <v>4.7</v>
      </c>
    </row>
    <row r="15" spans="2:16" x14ac:dyDescent="0.25">
      <c r="B15" s="12" t="s">
        <v>13</v>
      </c>
      <c r="C15" s="13" t="s">
        <v>14</v>
      </c>
      <c r="D15" s="14" t="s">
        <v>15</v>
      </c>
      <c r="E15" s="14" t="s">
        <v>16</v>
      </c>
      <c r="F15" s="15">
        <v>42877</v>
      </c>
      <c r="G15" s="16">
        <v>4.9200000000000001E-2</v>
      </c>
      <c r="H15" s="15"/>
      <c r="I15" s="16"/>
      <c r="J15" s="15"/>
      <c r="K15" s="16"/>
      <c r="L15" s="15"/>
      <c r="M15" s="63"/>
      <c r="N15" s="17"/>
      <c r="O15" s="16"/>
      <c r="P15" s="18">
        <f t="shared" si="0"/>
        <v>4.9200000000000001E-2</v>
      </c>
    </row>
    <row r="16" spans="2:16" x14ac:dyDescent="0.25">
      <c r="B16" s="12" t="s">
        <v>17</v>
      </c>
      <c r="C16" s="13" t="s">
        <v>18</v>
      </c>
      <c r="D16" s="14" t="s">
        <v>15</v>
      </c>
      <c r="E16" s="14" t="s">
        <v>16</v>
      </c>
      <c r="F16" s="15">
        <v>42845</v>
      </c>
      <c r="G16" s="16">
        <v>0.57999999999999996</v>
      </c>
      <c r="H16" s="15"/>
      <c r="I16" s="16"/>
      <c r="J16" s="15"/>
      <c r="K16" s="16"/>
      <c r="L16" s="15"/>
      <c r="M16" s="63"/>
      <c r="N16" s="17"/>
      <c r="O16" s="16"/>
      <c r="P16" s="18">
        <f t="shared" si="0"/>
        <v>0.57999999999999996</v>
      </c>
    </row>
    <row r="17" spans="2:16" x14ac:dyDescent="0.25">
      <c r="B17" s="12" t="s">
        <v>19</v>
      </c>
      <c r="C17" s="13" t="s">
        <v>20</v>
      </c>
      <c r="D17" s="14" t="s">
        <v>15</v>
      </c>
      <c r="E17" s="14" t="s">
        <v>21</v>
      </c>
      <c r="F17" s="15">
        <v>42844</v>
      </c>
      <c r="G17" s="16">
        <v>0.76</v>
      </c>
      <c r="H17" s="15"/>
      <c r="I17" s="16"/>
      <c r="J17" s="15"/>
      <c r="K17" s="16"/>
      <c r="L17" s="15"/>
      <c r="M17" s="63"/>
      <c r="N17" s="17"/>
      <c r="O17" s="16"/>
      <c r="P17" s="18">
        <f t="shared" si="0"/>
        <v>0.76</v>
      </c>
    </row>
    <row r="18" spans="2:16" x14ac:dyDescent="0.25">
      <c r="B18" s="19" t="s">
        <v>563</v>
      </c>
      <c r="C18" s="20" t="s">
        <v>590</v>
      </c>
      <c r="D18" s="21" t="s">
        <v>55</v>
      </c>
      <c r="E18" s="22" t="s">
        <v>56</v>
      </c>
      <c r="F18" s="23">
        <v>42836</v>
      </c>
      <c r="G18" s="24">
        <v>0.64</v>
      </c>
      <c r="H18" s="23">
        <v>42928</v>
      </c>
      <c r="I18" s="24">
        <v>0.64</v>
      </c>
      <c r="J18" s="23">
        <v>43020</v>
      </c>
      <c r="K18" s="24">
        <v>0.64</v>
      </c>
      <c r="L18" s="23">
        <v>43111</v>
      </c>
      <c r="M18" s="77">
        <v>0.71</v>
      </c>
      <c r="N18" s="25"/>
      <c r="O18" s="24"/>
      <c r="P18" s="26">
        <f t="shared" si="0"/>
        <v>2.63</v>
      </c>
    </row>
    <row r="19" spans="2:16" x14ac:dyDescent="0.25">
      <c r="B19" s="12" t="s">
        <v>22</v>
      </c>
      <c r="C19" s="13" t="s">
        <v>23</v>
      </c>
      <c r="D19" s="14" t="s">
        <v>24</v>
      </c>
      <c r="E19" s="14" t="s">
        <v>16</v>
      </c>
      <c r="F19" s="15">
        <v>42867</v>
      </c>
      <c r="G19" s="16">
        <v>1.05</v>
      </c>
      <c r="H19" s="15"/>
      <c r="I19" s="16"/>
      <c r="J19" s="15"/>
      <c r="K19" s="16"/>
      <c r="L19" s="15"/>
      <c r="M19" s="63"/>
      <c r="N19" s="17"/>
      <c r="O19" s="16"/>
      <c r="P19" s="18">
        <f t="shared" si="0"/>
        <v>1.05</v>
      </c>
    </row>
    <row r="20" spans="2:16" x14ac:dyDescent="0.25">
      <c r="B20" s="12" t="s">
        <v>25</v>
      </c>
      <c r="C20" s="13" t="s">
        <v>26</v>
      </c>
      <c r="D20" s="14" t="s">
        <v>27</v>
      </c>
      <c r="E20" s="14" t="s">
        <v>16</v>
      </c>
      <c r="F20" s="15">
        <v>42884</v>
      </c>
      <c r="G20" s="16">
        <v>2.04</v>
      </c>
      <c r="H20" s="15"/>
      <c r="I20" s="16"/>
      <c r="J20" s="15"/>
      <c r="K20" s="16"/>
      <c r="L20" s="15"/>
      <c r="M20" s="63"/>
      <c r="N20" s="17"/>
      <c r="O20" s="16"/>
      <c r="P20" s="18">
        <f t="shared" si="0"/>
        <v>2.04</v>
      </c>
    </row>
    <row r="21" spans="2:16" x14ac:dyDescent="0.25">
      <c r="B21" s="12" t="s">
        <v>28</v>
      </c>
      <c r="C21" s="13" t="s">
        <v>29</v>
      </c>
      <c r="D21" s="14" t="s">
        <v>15</v>
      </c>
      <c r="E21" s="14" t="s">
        <v>21</v>
      </c>
      <c r="F21" s="15">
        <v>42853</v>
      </c>
      <c r="G21" s="16">
        <v>1.5</v>
      </c>
      <c r="H21" s="15">
        <v>42936</v>
      </c>
      <c r="I21" s="16">
        <v>0.9</v>
      </c>
      <c r="J21" s="15"/>
      <c r="K21" s="16"/>
      <c r="L21" s="15"/>
      <c r="M21" s="63"/>
      <c r="N21" s="17"/>
      <c r="O21" s="16"/>
      <c r="P21" s="18">
        <f t="shared" si="0"/>
        <v>2.4</v>
      </c>
    </row>
    <row r="22" spans="2:16" x14ac:dyDescent="0.25">
      <c r="B22" s="12" t="s">
        <v>30</v>
      </c>
      <c r="C22" s="13" t="s">
        <v>31</v>
      </c>
      <c r="D22" s="14" t="s">
        <v>15</v>
      </c>
      <c r="E22" s="14" t="s">
        <v>16</v>
      </c>
      <c r="F22" s="15">
        <v>42867</v>
      </c>
      <c r="G22" s="16">
        <v>2</v>
      </c>
      <c r="H22" s="15"/>
      <c r="I22" s="16"/>
      <c r="J22" s="15"/>
      <c r="K22" s="16"/>
      <c r="L22" s="15"/>
      <c r="M22" s="63"/>
      <c r="N22" s="17"/>
      <c r="O22" s="16"/>
      <c r="P22" s="18">
        <f t="shared" si="0"/>
        <v>2</v>
      </c>
    </row>
    <row r="23" spans="2:16" x14ac:dyDescent="0.25">
      <c r="B23" s="12" t="s">
        <v>32</v>
      </c>
      <c r="C23" s="13" t="s">
        <v>33</v>
      </c>
      <c r="D23" s="14" t="s">
        <v>15</v>
      </c>
      <c r="E23" s="14" t="s">
        <v>16</v>
      </c>
      <c r="F23" s="15">
        <v>42878</v>
      </c>
      <c r="G23" s="16">
        <v>0.13</v>
      </c>
      <c r="H23" s="15">
        <v>42965</v>
      </c>
      <c r="I23" s="16">
        <v>0.13</v>
      </c>
      <c r="J23" s="15"/>
      <c r="K23" s="16"/>
      <c r="L23" s="15"/>
      <c r="M23" s="63"/>
      <c r="N23" s="17"/>
      <c r="O23" s="16"/>
      <c r="P23" s="18">
        <f t="shared" si="0"/>
        <v>0.26</v>
      </c>
    </row>
    <row r="24" spans="2:16" x14ac:dyDescent="0.25">
      <c r="B24" s="12" t="s">
        <v>34</v>
      </c>
      <c r="C24" s="13" t="s">
        <v>35</v>
      </c>
      <c r="D24" s="14" t="s">
        <v>27</v>
      </c>
      <c r="E24" s="14" t="s">
        <v>16</v>
      </c>
      <c r="F24" s="29">
        <v>42884</v>
      </c>
      <c r="G24" s="71">
        <v>1.681087</v>
      </c>
      <c r="H24" s="15"/>
      <c r="I24" s="16"/>
      <c r="J24" s="15"/>
      <c r="K24" s="16"/>
      <c r="L24" s="15"/>
      <c r="M24" s="63"/>
      <c r="N24" s="17"/>
      <c r="O24" s="16"/>
      <c r="P24" s="18">
        <f t="shared" si="0"/>
        <v>1.681087</v>
      </c>
    </row>
    <row r="25" spans="2:16" x14ac:dyDescent="0.25">
      <c r="B25" s="12" t="s">
        <v>34</v>
      </c>
      <c r="C25" s="13" t="s">
        <v>607</v>
      </c>
      <c r="D25" s="14" t="s">
        <v>27</v>
      </c>
      <c r="E25" s="14" t="s">
        <v>16</v>
      </c>
      <c r="F25" s="29">
        <v>42884</v>
      </c>
      <c r="G25" s="71">
        <v>1.681087</v>
      </c>
      <c r="H25" s="15"/>
      <c r="I25" s="16"/>
      <c r="J25" s="15"/>
      <c r="K25" s="16"/>
      <c r="L25" s="15"/>
      <c r="M25" s="63"/>
      <c r="N25" s="17"/>
      <c r="O25" s="16"/>
      <c r="P25" s="18">
        <f t="shared" si="0"/>
        <v>1.681087</v>
      </c>
    </row>
    <row r="26" spans="2:16" x14ac:dyDescent="0.25">
      <c r="B26" s="12" t="s">
        <v>36</v>
      </c>
      <c r="C26" s="13" t="s">
        <v>37</v>
      </c>
      <c r="D26" s="14" t="s">
        <v>15</v>
      </c>
      <c r="E26" s="14" t="s">
        <v>16</v>
      </c>
      <c r="F26" s="15">
        <v>42843</v>
      </c>
      <c r="G26" s="16">
        <v>0.56999999999999995</v>
      </c>
      <c r="H26" s="15"/>
      <c r="I26" s="16"/>
      <c r="J26" s="15"/>
      <c r="K26" s="16"/>
      <c r="L26" s="15"/>
      <c r="M26" s="63"/>
      <c r="N26" s="17"/>
      <c r="O26" s="16"/>
      <c r="P26" s="18">
        <f t="shared" si="0"/>
        <v>0.56999999999999995</v>
      </c>
    </row>
    <row r="27" spans="2:16" x14ac:dyDescent="0.25">
      <c r="B27" s="12" t="s">
        <v>38</v>
      </c>
      <c r="C27" s="13" t="s">
        <v>39</v>
      </c>
      <c r="D27" s="14" t="s">
        <v>27</v>
      </c>
      <c r="E27" s="14" t="s">
        <v>16</v>
      </c>
      <c r="F27" s="15">
        <v>42843</v>
      </c>
      <c r="G27" s="16">
        <v>0.56999999999999995</v>
      </c>
      <c r="H27" s="15"/>
      <c r="I27" s="16"/>
      <c r="J27" s="15"/>
      <c r="K27" s="16"/>
      <c r="L27" s="15"/>
      <c r="M27" s="63"/>
      <c r="N27" s="17"/>
      <c r="O27" s="16"/>
      <c r="P27" s="18">
        <f t="shared" si="0"/>
        <v>0.56999999999999995</v>
      </c>
    </row>
    <row r="28" spans="2:16" x14ac:dyDescent="0.25">
      <c r="B28" s="12" t="s">
        <v>38</v>
      </c>
      <c r="C28" s="13" t="s">
        <v>40</v>
      </c>
      <c r="D28" s="14" t="s">
        <v>27</v>
      </c>
      <c r="E28" s="14" t="s">
        <v>16</v>
      </c>
      <c r="F28" s="15">
        <v>42843</v>
      </c>
      <c r="G28" s="16">
        <v>0.56999999999999995</v>
      </c>
      <c r="H28" s="15"/>
      <c r="I28" s="16"/>
      <c r="J28" s="15"/>
      <c r="K28" s="16"/>
      <c r="L28" s="15"/>
      <c r="M28" s="63"/>
      <c r="N28" s="17"/>
      <c r="O28" s="16"/>
      <c r="P28" s="18">
        <f t="shared" si="0"/>
        <v>0.56999999999999995</v>
      </c>
    </row>
    <row r="29" spans="2:16" x14ac:dyDescent="0.25">
      <c r="B29" s="12" t="s">
        <v>41</v>
      </c>
      <c r="C29" s="13" t="s">
        <v>42</v>
      </c>
      <c r="D29" s="14" t="s">
        <v>24</v>
      </c>
      <c r="E29" s="14" t="s">
        <v>16</v>
      </c>
      <c r="F29" s="29">
        <v>42870</v>
      </c>
      <c r="G29" s="71">
        <v>2.3635999999999999</v>
      </c>
      <c r="H29" s="15"/>
      <c r="I29" s="16"/>
      <c r="J29" s="15"/>
      <c r="K29" s="16"/>
      <c r="L29" s="15"/>
      <c r="M29" s="63"/>
      <c r="N29" s="17"/>
      <c r="O29" s="16"/>
      <c r="P29" s="18">
        <f t="shared" si="0"/>
        <v>2.3635999999999999</v>
      </c>
    </row>
    <row r="30" spans="2:16" x14ac:dyDescent="0.25">
      <c r="B30" s="12" t="s">
        <v>43</v>
      </c>
      <c r="C30" s="13" t="s">
        <v>44</v>
      </c>
      <c r="D30" s="14" t="s">
        <v>24</v>
      </c>
      <c r="E30" s="14" t="s">
        <v>16</v>
      </c>
      <c r="F30" s="15">
        <v>42843</v>
      </c>
      <c r="G30" s="16">
        <v>1.35</v>
      </c>
      <c r="H30" s="15"/>
      <c r="I30" s="16"/>
      <c r="J30" s="15"/>
      <c r="K30" s="16"/>
      <c r="L30" s="15"/>
      <c r="M30" s="63"/>
      <c r="N30" s="17"/>
      <c r="O30" s="16"/>
      <c r="P30" s="18">
        <f t="shared" si="0"/>
        <v>1.35</v>
      </c>
    </row>
    <row r="31" spans="2:16" x14ac:dyDescent="0.25">
      <c r="B31" s="12" t="s">
        <v>45</v>
      </c>
      <c r="C31" s="13" t="s">
        <v>46</v>
      </c>
      <c r="D31" s="14" t="s">
        <v>15</v>
      </c>
      <c r="E31" s="14" t="s">
        <v>16</v>
      </c>
      <c r="F31" s="29">
        <v>42852</v>
      </c>
      <c r="G31" s="71">
        <v>1.2123999999999999</v>
      </c>
      <c r="H31" s="29">
        <v>43028</v>
      </c>
      <c r="I31" s="71">
        <v>0.53039999999999998</v>
      </c>
      <c r="J31" s="15"/>
      <c r="K31" s="16"/>
      <c r="L31" s="15"/>
      <c r="M31" s="63"/>
      <c r="N31" s="17"/>
      <c r="O31" s="16"/>
      <c r="P31" s="18">
        <f t="shared" si="0"/>
        <v>1.7427999999999999</v>
      </c>
    </row>
    <row r="32" spans="2:16" x14ac:dyDescent="0.25">
      <c r="B32" s="12" t="s">
        <v>617</v>
      </c>
      <c r="C32" s="13" t="s">
        <v>616</v>
      </c>
      <c r="D32" s="14" t="s">
        <v>15</v>
      </c>
      <c r="E32" s="14" t="s">
        <v>16</v>
      </c>
      <c r="F32" s="29">
        <v>42852</v>
      </c>
      <c r="G32" s="71">
        <v>1.2123999999999999</v>
      </c>
      <c r="H32" s="29">
        <v>43028</v>
      </c>
      <c r="I32" s="71">
        <v>0.53039999999999998</v>
      </c>
      <c r="J32" s="15"/>
      <c r="K32" s="16"/>
      <c r="L32" s="15"/>
      <c r="M32" s="63"/>
      <c r="N32" s="17"/>
      <c r="O32" s="16"/>
      <c r="P32" s="18">
        <f t="shared" si="0"/>
        <v>1.7427999999999999</v>
      </c>
    </row>
    <row r="33" spans="2:16" x14ac:dyDescent="0.25">
      <c r="B33" s="12" t="s">
        <v>47</v>
      </c>
      <c r="C33" s="13" t="s">
        <v>48</v>
      </c>
      <c r="D33" s="14" t="s">
        <v>15</v>
      </c>
      <c r="E33" s="14" t="s">
        <v>16</v>
      </c>
      <c r="F33" s="15">
        <v>42859</v>
      </c>
      <c r="G33" s="16">
        <v>7.6</v>
      </c>
      <c r="H33" s="15"/>
      <c r="I33" s="16"/>
      <c r="J33" s="15"/>
      <c r="K33" s="16"/>
      <c r="L33" s="15"/>
      <c r="M33" s="63"/>
      <c r="N33" s="17"/>
      <c r="O33" s="16"/>
      <c r="P33" s="18">
        <f t="shared" si="0"/>
        <v>7.6</v>
      </c>
    </row>
    <row r="34" spans="2:16" x14ac:dyDescent="0.25">
      <c r="B34" s="12" t="s">
        <v>49</v>
      </c>
      <c r="C34" s="13" t="s">
        <v>50</v>
      </c>
      <c r="D34" s="14" t="s">
        <v>24</v>
      </c>
      <c r="E34" s="14" t="s">
        <v>16</v>
      </c>
      <c r="F34" s="15">
        <v>42923</v>
      </c>
      <c r="G34" s="16">
        <v>0.25</v>
      </c>
      <c r="H34" s="15"/>
      <c r="I34" s="16"/>
      <c r="J34" s="15"/>
      <c r="K34" s="16"/>
      <c r="L34" s="15"/>
      <c r="M34" s="63"/>
      <c r="N34" s="17"/>
      <c r="O34" s="16"/>
      <c r="P34" s="18">
        <f t="shared" si="0"/>
        <v>0.25</v>
      </c>
    </row>
    <row r="35" spans="2:16" x14ac:dyDescent="0.25">
      <c r="B35" s="19" t="s">
        <v>554</v>
      </c>
      <c r="C35" s="20" t="s">
        <v>581</v>
      </c>
      <c r="D35" s="21" t="s">
        <v>55</v>
      </c>
      <c r="E35" s="22" t="s">
        <v>56</v>
      </c>
      <c r="F35" s="23">
        <v>42807</v>
      </c>
      <c r="G35" s="24">
        <v>0.61</v>
      </c>
      <c r="H35" s="23">
        <v>42899</v>
      </c>
      <c r="I35" s="24">
        <v>0.61</v>
      </c>
      <c r="J35" s="23">
        <v>42992</v>
      </c>
      <c r="K35" s="24">
        <v>0.66</v>
      </c>
      <c r="L35" s="23">
        <v>43089</v>
      </c>
      <c r="M35" s="77">
        <v>0.66</v>
      </c>
      <c r="N35" s="25"/>
      <c r="O35" s="24"/>
      <c r="P35" s="26">
        <f t="shared" si="0"/>
        <v>2.54</v>
      </c>
    </row>
    <row r="36" spans="2:16" x14ac:dyDescent="0.25">
      <c r="B36" s="12" t="s">
        <v>51</v>
      </c>
      <c r="C36" s="13" t="s">
        <v>52</v>
      </c>
      <c r="D36" s="14" t="s">
        <v>15</v>
      </c>
      <c r="E36" s="14" t="s">
        <v>16</v>
      </c>
      <c r="F36" s="15">
        <v>42765</v>
      </c>
      <c r="G36" s="16">
        <v>0.4</v>
      </c>
      <c r="H36" s="15">
        <v>42914</v>
      </c>
      <c r="I36" s="16">
        <v>0.54</v>
      </c>
      <c r="J36" s="15"/>
      <c r="K36" s="16"/>
      <c r="L36" s="15"/>
      <c r="M36" s="63"/>
      <c r="N36" s="17"/>
      <c r="O36" s="16"/>
      <c r="P36" s="18">
        <f t="shared" si="0"/>
        <v>0.94000000000000006</v>
      </c>
    </row>
    <row r="37" spans="2:16" x14ac:dyDescent="0.25">
      <c r="B37" s="19" t="s">
        <v>53</v>
      </c>
      <c r="C37" s="20" t="s">
        <v>54</v>
      </c>
      <c r="D37" s="21" t="s">
        <v>55</v>
      </c>
      <c r="E37" s="22" t="s">
        <v>56</v>
      </c>
      <c r="F37" s="23"/>
      <c r="G37" s="24"/>
      <c r="H37" s="23"/>
      <c r="I37" s="24"/>
      <c r="J37" s="23"/>
      <c r="K37" s="24"/>
      <c r="L37" s="23"/>
      <c r="M37" s="77"/>
      <c r="N37" s="25"/>
      <c r="O37" s="24"/>
      <c r="P37" s="26">
        <f t="shared" si="0"/>
        <v>0</v>
      </c>
    </row>
    <row r="38" spans="2:16" x14ac:dyDescent="0.25">
      <c r="B38" s="19" t="s">
        <v>556</v>
      </c>
      <c r="C38" s="20" t="s">
        <v>583</v>
      </c>
      <c r="D38" s="21" t="s">
        <v>55</v>
      </c>
      <c r="E38" s="22" t="s">
        <v>56</v>
      </c>
      <c r="F38" s="23">
        <v>42779</v>
      </c>
      <c r="G38" s="24">
        <v>1.1499999999999999</v>
      </c>
      <c r="H38" s="23">
        <v>42870</v>
      </c>
      <c r="I38" s="24">
        <v>1.1499999999999999</v>
      </c>
      <c r="J38" s="23">
        <v>42962</v>
      </c>
      <c r="K38" s="24">
        <v>1.1499999999999999</v>
      </c>
      <c r="L38" s="23">
        <v>43055</v>
      </c>
      <c r="M38" s="77">
        <v>1.1499999999999999</v>
      </c>
      <c r="N38" s="25"/>
      <c r="O38" s="24"/>
      <c r="P38" s="26">
        <f t="shared" si="0"/>
        <v>4.5999999999999996</v>
      </c>
    </row>
    <row r="39" spans="2:16" x14ac:dyDescent="0.25">
      <c r="B39" s="12" t="s">
        <v>57</v>
      </c>
      <c r="C39" s="13" t="s">
        <v>58</v>
      </c>
      <c r="D39" s="14" t="s">
        <v>15</v>
      </c>
      <c r="E39" s="14" t="s">
        <v>56</v>
      </c>
      <c r="F39" s="15">
        <v>42957</v>
      </c>
      <c r="G39" s="16">
        <v>0.48</v>
      </c>
      <c r="H39" s="15"/>
      <c r="I39" s="16"/>
      <c r="J39" s="15"/>
      <c r="K39" s="16"/>
      <c r="L39" s="15"/>
      <c r="M39" s="63"/>
      <c r="N39" s="17"/>
      <c r="O39" s="16"/>
      <c r="P39" s="18">
        <f t="shared" si="0"/>
        <v>0.48</v>
      </c>
    </row>
    <row r="40" spans="2:16" x14ac:dyDescent="0.25">
      <c r="B40" s="12" t="s">
        <v>59</v>
      </c>
      <c r="C40" s="13" t="s">
        <v>60</v>
      </c>
      <c r="D40" s="14" t="s">
        <v>27</v>
      </c>
      <c r="E40" s="14" t="s">
        <v>16</v>
      </c>
      <c r="F40" s="15">
        <v>42857</v>
      </c>
      <c r="G40" s="16">
        <v>2</v>
      </c>
      <c r="H40" s="15">
        <v>43053</v>
      </c>
      <c r="I40" s="16">
        <v>1.6</v>
      </c>
      <c r="J40" s="15"/>
      <c r="K40" s="16"/>
      <c r="L40" s="15"/>
      <c r="M40" s="63"/>
      <c r="N40" s="17"/>
      <c r="O40" s="16"/>
      <c r="P40" s="18">
        <f t="shared" si="0"/>
        <v>3.6</v>
      </c>
    </row>
    <row r="41" spans="2:16" x14ac:dyDescent="0.25">
      <c r="B41" s="19" t="s">
        <v>61</v>
      </c>
      <c r="C41" s="20" t="s">
        <v>62</v>
      </c>
      <c r="D41" s="21" t="s">
        <v>55</v>
      </c>
      <c r="E41" s="22" t="s">
        <v>56</v>
      </c>
      <c r="F41" s="23">
        <v>42775</v>
      </c>
      <c r="G41" s="24">
        <v>0.56999999999999995</v>
      </c>
      <c r="H41" s="23">
        <v>42866</v>
      </c>
      <c r="I41" s="24">
        <v>0.63</v>
      </c>
      <c r="J41" s="23">
        <v>42957</v>
      </c>
      <c r="K41" s="24">
        <v>0.63</v>
      </c>
      <c r="L41" s="23">
        <v>43049</v>
      </c>
      <c r="M41" s="24">
        <v>0.63</v>
      </c>
      <c r="N41" s="25"/>
      <c r="O41" s="24"/>
      <c r="P41" s="26">
        <f t="shared" si="0"/>
        <v>2.46</v>
      </c>
    </row>
    <row r="42" spans="2:16" x14ac:dyDescent="0.25">
      <c r="B42" s="12" t="s">
        <v>63</v>
      </c>
      <c r="C42" s="13" t="s">
        <v>64</v>
      </c>
      <c r="D42" s="14" t="s">
        <v>15</v>
      </c>
      <c r="E42" s="14" t="s">
        <v>16</v>
      </c>
      <c r="F42" s="15"/>
      <c r="G42" s="27"/>
      <c r="H42" s="15"/>
      <c r="I42" s="16"/>
      <c r="J42" s="15"/>
      <c r="K42" s="16"/>
      <c r="L42" s="15"/>
      <c r="M42" s="63"/>
      <c r="N42" s="17"/>
      <c r="O42" s="16"/>
      <c r="P42" s="18">
        <f t="shared" si="0"/>
        <v>0</v>
      </c>
    </row>
    <row r="43" spans="2:16" x14ac:dyDescent="0.25">
      <c r="B43" s="12" t="s">
        <v>65</v>
      </c>
      <c r="C43" s="13" t="s">
        <v>66</v>
      </c>
      <c r="D43" s="14" t="s">
        <v>15</v>
      </c>
      <c r="E43" s="14" t="s">
        <v>16</v>
      </c>
      <c r="F43" s="15">
        <v>42853</v>
      </c>
      <c r="G43" s="16">
        <v>1.2</v>
      </c>
      <c r="H43" s="15"/>
      <c r="I43" s="16"/>
      <c r="J43" s="15"/>
      <c r="K43" s="16"/>
      <c r="L43" s="15"/>
      <c r="M43" s="63"/>
      <c r="N43" s="17"/>
      <c r="O43" s="16"/>
      <c r="P43" s="18">
        <f t="shared" si="0"/>
        <v>1.2</v>
      </c>
    </row>
    <row r="44" spans="2:16" x14ac:dyDescent="0.25">
      <c r="B44" s="12" t="s">
        <v>67</v>
      </c>
      <c r="C44" s="13" t="s">
        <v>68</v>
      </c>
      <c r="D44" s="14" t="s">
        <v>15</v>
      </c>
      <c r="E44" s="14" t="s">
        <v>16</v>
      </c>
      <c r="F44" s="15">
        <v>42877</v>
      </c>
      <c r="G44" s="16">
        <v>0.8</v>
      </c>
      <c r="H44" s="15"/>
      <c r="I44" s="16"/>
      <c r="J44" s="15"/>
      <c r="K44" s="16"/>
      <c r="L44" s="15"/>
      <c r="M44" s="63"/>
      <c r="N44" s="17"/>
      <c r="O44" s="16"/>
      <c r="P44" s="18">
        <f t="shared" si="0"/>
        <v>0.8</v>
      </c>
    </row>
    <row r="45" spans="2:16" x14ac:dyDescent="0.25">
      <c r="B45" s="12" t="s">
        <v>69</v>
      </c>
      <c r="C45" s="13" t="s">
        <v>70</v>
      </c>
      <c r="D45" s="14" t="s">
        <v>15</v>
      </c>
      <c r="E45" s="14" t="s">
        <v>56</v>
      </c>
      <c r="F45" s="15">
        <v>42782</v>
      </c>
      <c r="G45" s="28">
        <v>1.9</v>
      </c>
      <c r="H45" s="15">
        <v>42957</v>
      </c>
      <c r="I45" s="16">
        <v>0.9</v>
      </c>
      <c r="J45" s="15"/>
      <c r="K45" s="16"/>
      <c r="L45" s="15"/>
      <c r="M45" s="63"/>
      <c r="N45" s="17"/>
      <c r="O45" s="16"/>
      <c r="P45" s="18">
        <f t="shared" si="0"/>
        <v>2.8</v>
      </c>
    </row>
    <row r="46" spans="2:16" x14ac:dyDescent="0.25">
      <c r="B46" s="19" t="s">
        <v>71</v>
      </c>
      <c r="C46" s="20" t="s">
        <v>72</v>
      </c>
      <c r="D46" s="21" t="s">
        <v>55</v>
      </c>
      <c r="E46" s="22" t="s">
        <v>56</v>
      </c>
      <c r="F46" s="23">
        <v>42831</v>
      </c>
      <c r="G46" s="24">
        <v>0.49</v>
      </c>
      <c r="H46" s="23">
        <v>42922</v>
      </c>
      <c r="I46" s="24">
        <v>0.49</v>
      </c>
      <c r="J46" s="23">
        <v>43014</v>
      </c>
      <c r="K46" s="24">
        <v>0.49</v>
      </c>
      <c r="L46" s="23">
        <v>43109</v>
      </c>
      <c r="M46" s="77">
        <v>0.5</v>
      </c>
      <c r="N46" s="25"/>
      <c r="O46" s="24"/>
      <c r="P46" s="26">
        <f t="shared" si="0"/>
        <v>1.97</v>
      </c>
    </row>
    <row r="47" spans="2:16" x14ac:dyDescent="0.25">
      <c r="B47" s="12" t="s">
        <v>73</v>
      </c>
      <c r="C47" s="13" t="s">
        <v>74</v>
      </c>
      <c r="D47" s="14" t="s">
        <v>15</v>
      </c>
      <c r="E47" s="14" t="s">
        <v>16</v>
      </c>
      <c r="F47" s="15">
        <v>42877</v>
      </c>
      <c r="G47" s="16">
        <v>0.53</v>
      </c>
      <c r="H47" s="15">
        <v>43059</v>
      </c>
      <c r="I47" s="16">
        <v>0.56999999999999995</v>
      </c>
      <c r="J47" s="15"/>
      <c r="K47" s="16"/>
      <c r="L47" s="15"/>
      <c r="M47" s="63"/>
      <c r="N47" s="17"/>
      <c r="O47" s="16"/>
      <c r="P47" s="18">
        <f t="shared" si="0"/>
        <v>1.1000000000000001</v>
      </c>
    </row>
    <row r="48" spans="2:16" x14ac:dyDescent="0.25">
      <c r="B48" s="12" t="s">
        <v>75</v>
      </c>
      <c r="C48" s="13" t="s">
        <v>76</v>
      </c>
      <c r="D48" s="14" t="s">
        <v>15</v>
      </c>
      <c r="E48" s="14" t="s">
        <v>77</v>
      </c>
      <c r="F48" s="15">
        <v>42831</v>
      </c>
      <c r="G48" s="16">
        <v>15.88</v>
      </c>
      <c r="H48" s="15">
        <v>43013</v>
      </c>
      <c r="I48" s="16">
        <v>8.4</v>
      </c>
      <c r="J48" s="15"/>
      <c r="K48" s="16"/>
      <c r="L48" s="15"/>
      <c r="M48" s="63"/>
      <c r="N48" s="17"/>
      <c r="O48" s="16"/>
      <c r="P48" s="18">
        <f t="shared" si="0"/>
        <v>24.28</v>
      </c>
    </row>
    <row r="49" spans="2:16" x14ac:dyDescent="0.25">
      <c r="B49" s="12" t="s">
        <v>78</v>
      </c>
      <c r="C49" s="13" t="s">
        <v>79</v>
      </c>
      <c r="D49" s="14" t="s">
        <v>24</v>
      </c>
      <c r="E49" s="14" t="s">
        <v>16</v>
      </c>
      <c r="F49" s="15">
        <v>42860</v>
      </c>
      <c r="G49" s="16">
        <v>1.1599999999999999</v>
      </c>
      <c r="H49" s="15"/>
      <c r="I49" s="16"/>
      <c r="J49" s="15"/>
      <c r="K49" s="16"/>
      <c r="L49" s="15"/>
      <c r="M49" s="63"/>
      <c r="N49" s="17"/>
      <c r="O49" s="16"/>
      <c r="P49" s="18">
        <f t="shared" si="0"/>
        <v>1.1599999999999999</v>
      </c>
    </row>
    <row r="50" spans="2:16" x14ac:dyDescent="0.25">
      <c r="B50" s="12" t="s">
        <v>80</v>
      </c>
      <c r="C50" s="13" t="s">
        <v>81</v>
      </c>
      <c r="D50" s="14" t="s">
        <v>15</v>
      </c>
      <c r="E50" s="14" t="s">
        <v>16</v>
      </c>
      <c r="F50" s="15">
        <v>42877</v>
      </c>
      <c r="G50" s="16">
        <v>1</v>
      </c>
      <c r="H50" s="15"/>
      <c r="I50" s="16"/>
      <c r="J50" s="15"/>
      <c r="K50" s="16"/>
      <c r="L50" s="15"/>
      <c r="M50" s="63"/>
      <c r="N50" s="17"/>
      <c r="O50" s="16"/>
      <c r="P50" s="18">
        <f t="shared" si="0"/>
        <v>1</v>
      </c>
    </row>
    <row r="51" spans="2:16" x14ac:dyDescent="0.25">
      <c r="B51" s="12" t="s">
        <v>82</v>
      </c>
      <c r="C51" s="13" t="s">
        <v>83</v>
      </c>
      <c r="D51" s="14" t="s">
        <v>15</v>
      </c>
      <c r="E51" s="14" t="s">
        <v>77</v>
      </c>
      <c r="F51" s="15">
        <v>42845</v>
      </c>
      <c r="G51" s="16">
        <v>12.7</v>
      </c>
      <c r="H51" s="15">
        <v>43027</v>
      </c>
      <c r="I51" s="16">
        <v>8.8000000000000007</v>
      </c>
      <c r="J51" s="15"/>
      <c r="K51" s="16"/>
      <c r="L51" s="15"/>
      <c r="M51" s="63"/>
      <c r="N51" s="17"/>
      <c r="O51" s="16"/>
      <c r="P51" s="18">
        <f t="shared" si="0"/>
        <v>21.5</v>
      </c>
    </row>
    <row r="52" spans="2:16" x14ac:dyDescent="0.25">
      <c r="B52" s="12" t="s">
        <v>84</v>
      </c>
      <c r="C52" s="13" t="s">
        <v>85</v>
      </c>
      <c r="D52" s="14" t="s">
        <v>15</v>
      </c>
      <c r="E52" s="14" t="s">
        <v>16</v>
      </c>
      <c r="F52" s="29">
        <v>42849</v>
      </c>
      <c r="G52" s="30">
        <v>0.13789999999999999</v>
      </c>
      <c r="H52" s="15">
        <v>43059</v>
      </c>
      <c r="I52" s="16">
        <v>0.2</v>
      </c>
      <c r="J52" s="15"/>
      <c r="K52" s="16"/>
      <c r="L52" s="15"/>
      <c r="M52" s="63"/>
      <c r="N52" s="17"/>
      <c r="O52" s="16"/>
      <c r="P52" s="18">
        <f t="shared" si="0"/>
        <v>0.33789999999999998</v>
      </c>
    </row>
    <row r="53" spans="2:16" x14ac:dyDescent="0.25">
      <c r="B53" s="12" t="s">
        <v>86</v>
      </c>
      <c r="C53" s="13" t="s">
        <v>87</v>
      </c>
      <c r="D53" s="14" t="s">
        <v>15</v>
      </c>
      <c r="E53" s="14" t="s">
        <v>16</v>
      </c>
      <c r="F53" s="15">
        <v>42745</v>
      </c>
      <c r="G53" s="16">
        <v>0.08</v>
      </c>
      <c r="H53" s="15">
        <v>42828</v>
      </c>
      <c r="I53" s="16">
        <v>0.13100000000000001</v>
      </c>
      <c r="J53" s="15">
        <v>43014</v>
      </c>
      <c r="K53" s="16">
        <v>0.09</v>
      </c>
      <c r="L53" s="15"/>
      <c r="M53" s="63"/>
      <c r="N53" s="17"/>
      <c r="O53" s="16"/>
      <c r="P53" s="18">
        <f t="shared" si="0"/>
        <v>0.30100000000000005</v>
      </c>
    </row>
    <row r="54" spans="2:16" x14ac:dyDescent="0.25">
      <c r="B54" s="12" t="s">
        <v>88</v>
      </c>
      <c r="C54" s="13" t="s">
        <v>89</v>
      </c>
      <c r="D54" s="14" t="s">
        <v>15</v>
      </c>
      <c r="E54" s="14" t="s">
        <v>16</v>
      </c>
      <c r="F54" s="15"/>
      <c r="G54" s="16"/>
      <c r="H54" s="15"/>
      <c r="I54" s="16"/>
      <c r="J54" s="15"/>
      <c r="K54" s="16"/>
      <c r="L54" s="15"/>
      <c r="M54" s="63"/>
      <c r="N54" s="17"/>
      <c r="O54" s="16"/>
      <c r="P54" s="18">
        <f t="shared" si="0"/>
        <v>0</v>
      </c>
    </row>
    <row r="55" spans="2:16" x14ac:dyDescent="0.25">
      <c r="B55" s="12" t="s">
        <v>90</v>
      </c>
      <c r="C55" s="13" t="s">
        <v>91</v>
      </c>
      <c r="D55" s="14" t="s">
        <v>15</v>
      </c>
      <c r="E55" s="14" t="s">
        <v>16</v>
      </c>
      <c r="F55" s="29">
        <v>42765</v>
      </c>
      <c r="G55" s="30">
        <v>5.4095592099999999E-2</v>
      </c>
      <c r="H55" s="29">
        <v>42852</v>
      </c>
      <c r="I55" s="76">
        <v>5.4095592099999999E-2</v>
      </c>
      <c r="J55" s="15">
        <v>42949</v>
      </c>
      <c r="K55" s="16">
        <v>0.06</v>
      </c>
      <c r="L55" s="15">
        <v>43026</v>
      </c>
      <c r="M55" s="16">
        <v>0.04</v>
      </c>
      <c r="N55" s="17"/>
      <c r="O55" s="16"/>
      <c r="P55" s="18">
        <f t="shared" si="0"/>
        <v>0.20819118420000002</v>
      </c>
    </row>
    <row r="56" spans="2:16" x14ac:dyDescent="0.25">
      <c r="B56" s="12" t="s">
        <v>90</v>
      </c>
      <c r="C56" s="13" t="s">
        <v>609</v>
      </c>
      <c r="D56" s="14" t="s">
        <v>15</v>
      </c>
      <c r="E56" s="14" t="s">
        <v>16</v>
      </c>
      <c r="F56" s="29">
        <v>42765</v>
      </c>
      <c r="G56" s="30">
        <v>5.4095592099999999E-2</v>
      </c>
      <c r="H56" s="29">
        <v>42852</v>
      </c>
      <c r="I56" s="76">
        <v>5.4095592099999999E-2</v>
      </c>
      <c r="J56" s="15">
        <v>42949</v>
      </c>
      <c r="K56" s="16">
        <v>0.06</v>
      </c>
      <c r="L56" s="15">
        <v>43026</v>
      </c>
      <c r="M56" s="16">
        <v>0.04</v>
      </c>
      <c r="N56" s="17"/>
      <c r="O56" s="16"/>
      <c r="P56" s="18">
        <f t="shared" si="0"/>
        <v>0.20819118420000002</v>
      </c>
    </row>
    <row r="57" spans="2:16" x14ac:dyDescent="0.25">
      <c r="B57" s="19" t="s">
        <v>112</v>
      </c>
      <c r="C57" s="20" t="s">
        <v>113</v>
      </c>
      <c r="D57" s="21" t="s">
        <v>55</v>
      </c>
      <c r="E57" s="22" t="s">
        <v>56</v>
      </c>
      <c r="F57" s="23">
        <v>42795</v>
      </c>
      <c r="G57" s="24">
        <v>7.4999999999999997E-2</v>
      </c>
      <c r="H57" s="23">
        <v>42886</v>
      </c>
      <c r="I57" s="24">
        <v>7.4999999999999997E-2</v>
      </c>
      <c r="J57" s="23">
        <v>42977</v>
      </c>
      <c r="K57" s="24">
        <v>0.12</v>
      </c>
      <c r="L57" s="23">
        <v>43069</v>
      </c>
      <c r="M57" s="77">
        <v>0.12</v>
      </c>
      <c r="N57" s="25"/>
      <c r="O57" s="24"/>
      <c r="P57" s="26">
        <f t="shared" si="0"/>
        <v>0.39</v>
      </c>
    </row>
    <row r="58" spans="2:16" x14ac:dyDescent="0.25">
      <c r="B58" s="12" t="s">
        <v>92</v>
      </c>
      <c r="C58" s="13" t="s">
        <v>93</v>
      </c>
      <c r="D58" s="14" t="s">
        <v>15</v>
      </c>
      <c r="E58" s="14" t="s">
        <v>16</v>
      </c>
      <c r="F58" s="29">
        <v>42823</v>
      </c>
      <c r="G58" s="30">
        <v>0.11020000000000001</v>
      </c>
      <c r="H58" s="15"/>
      <c r="I58" s="16"/>
      <c r="J58" s="15"/>
      <c r="K58" s="16"/>
      <c r="L58" s="15"/>
      <c r="M58" s="63"/>
      <c r="N58" s="17"/>
      <c r="O58" s="16"/>
      <c r="P58" s="18">
        <f t="shared" si="0"/>
        <v>0.11020000000000001</v>
      </c>
    </row>
    <row r="59" spans="2:16" x14ac:dyDescent="0.25">
      <c r="B59" s="12" t="s">
        <v>94</v>
      </c>
      <c r="C59" s="13" t="s">
        <v>95</v>
      </c>
      <c r="D59" s="14" t="s">
        <v>15</v>
      </c>
      <c r="E59" s="14" t="s">
        <v>16</v>
      </c>
      <c r="F59" s="15">
        <v>42727</v>
      </c>
      <c r="G59" s="16">
        <v>5.1434000000000001E-2</v>
      </c>
      <c r="H59" s="15">
        <v>42822</v>
      </c>
      <c r="I59" s="16">
        <v>6.8227999999999997E-2</v>
      </c>
      <c r="J59" s="15">
        <v>42912</v>
      </c>
      <c r="K59" s="16">
        <v>5.9150000000000001E-2</v>
      </c>
      <c r="L59" s="15">
        <v>43003</v>
      </c>
      <c r="M59" s="63">
        <v>6.0685000000000003E-2</v>
      </c>
      <c r="N59" s="17"/>
      <c r="O59" s="16"/>
      <c r="P59" s="18">
        <f t="shared" si="0"/>
        <v>0.23949700000000002</v>
      </c>
    </row>
    <row r="60" spans="2:16" x14ac:dyDescent="0.25">
      <c r="B60" s="12" t="s">
        <v>96</v>
      </c>
      <c r="C60" s="13" t="s">
        <v>97</v>
      </c>
      <c r="D60" s="14" t="s">
        <v>15</v>
      </c>
      <c r="E60" s="14" t="s">
        <v>77</v>
      </c>
      <c r="F60" s="15">
        <v>42796</v>
      </c>
      <c r="G60" s="16">
        <v>2</v>
      </c>
      <c r="H60" s="15">
        <v>42957</v>
      </c>
      <c r="I60" s="16">
        <v>1</v>
      </c>
      <c r="J60" s="15"/>
      <c r="K60" s="16"/>
      <c r="L60" s="15"/>
      <c r="M60" s="63"/>
      <c r="N60" s="17"/>
      <c r="O60" s="16"/>
      <c r="P60" s="18">
        <f t="shared" si="0"/>
        <v>3</v>
      </c>
    </row>
    <row r="61" spans="2:16" x14ac:dyDescent="0.25">
      <c r="B61" s="12" t="s">
        <v>98</v>
      </c>
      <c r="C61" s="13" t="s">
        <v>99</v>
      </c>
      <c r="D61" s="14" t="s">
        <v>15</v>
      </c>
      <c r="E61" s="14" t="s">
        <v>16</v>
      </c>
      <c r="F61" s="15">
        <v>42870</v>
      </c>
      <c r="G61" s="16">
        <v>3</v>
      </c>
      <c r="H61" s="15"/>
      <c r="I61" s="16"/>
      <c r="J61" s="15"/>
      <c r="K61" s="16"/>
      <c r="L61" s="15"/>
      <c r="M61" s="63"/>
      <c r="N61" s="17"/>
      <c r="O61" s="16"/>
      <c r="P61" s="18">
        <f t="shared" si="0"/>
        <v>3</v>
      </c>
    </row>
    <row r="62" spans="2:16" x14ac:dyDescent="0.25">
      <c r="B62" s="12" t="s">
        <v>100</v>
      </c>
      <c r="C62" s="13" t="s">
        <v>101</v>
      </c>
      <c r="D62" s="14" t="s">
        <v>15</v>
      </c>
      <c r="E62" s="14" t="s">
        <v>16</v>
      </c>
      <c r="F62" s="15">
        <v>42857</v>
      </c>
      <c r="G62" s="16">
        <v>2.7</v>
      </c>
      <c r="H62" s="15"/>
      <c r="I62" s="16"/>
      <c r="J62" s="15"/>
      <c r="K62" s="16"/>
      <c r="L62" s="15"/>
      <c r="M62" s="63"/>
      <c r="N62" s="17"/>
      <c r="O62" s="16"/>
      <c r="P62" s="18">
        <f t="shared" si="0"/>
        <v>2.7</v>
      </c>
    </row>
    <row r="63" spans="2:16" x14ac:dyDescent="0.25">
      <c r="B63" s="12" t="s">
        <v>102</v>
      </c>
      <c r="C63" s="13" t="s">
        <v>103</v>
      </c>
      <c r="D63" s="14" t="s">
        <v>27</v>
      </c>
      <c r="E63" s="14" t="s">
        <v>16</v>
      </c>
      <c r="F63" s="15">
        <v>42858</v>
      </c>
      <c r="G63" s="16">
        <v>0.9</v>
      </c>
      <c r="H63" s="15"/>
      <c r="I63" s="16"/>
      <c r="J63" s="15"/>
      <c r="K63" s="16"/>
      <c r="L63" s="15"/>
      <c r="M63" s="63"/>
      <c r="N63" s="17"/>
      <c r="O63" s="16"/>
      <c r="P63" s="18">
        <f t="shared" si="0"/>
        <v>0.9</v>
      </c>
    </row>
    <row r="64" spans="2:16" x14ac:dyDescent="0.25">
      <c r="B64" s="12" t="s">
        <v>104</v>
      </c>
      <c r="C64" s="13" t="s">
        <v>105</v>
      </c>
      <c r="D64" s="14" t="s">
        <v>27</v>
      </c>
      <c r="E64" s="14" t="s">
        <v>16</v>
      </c>
      <c r="F64" s="15">
        <v>42866</v>
      </c>
      <c r="G64" s="16">
        <v>1.1000000000000001</v>
      </c>
      <c r="H64" s="15"/>
      <c r="I64" s="16"/>
      <c r="J64" s="15"/>
      <c r="K64" s="16"/>
      <c r="L64" s="15"/>
      <c r="M64" s="63"/>
      <c r="N64" s="17"/>
      <c r="O64" s="16"/>
      <c r="P64" s="18">
        <f t="shared" si="0"/>
        <v>1.1000000000000001</v>
      </c>
    </row>
    <row r="65" spans="2:16" x14ac:dyDescent="0.25">
      <c r="B65" s="12" t="s">
        <v>106</v>
      </c>
      <c r="C65" s="13" t="s">
        <v>107</v>
      </c>
      <c r="D65" s="14" t="s">
        <v>15</v>
      </c>
      <c r="E65" s="14" t="s">
        <v>56</v>
      </c>
      <c r="F65" s="15">
        <v>42803</v>
      </c>
      <c r="G65" s="16">
        <v>0.4</v>
      </c>
      <c r="H65" s="15">
        <v>42985</v>
      </c>
      <c r="I65" s="16">
        <v>0.43</v>
      </c>
      <c r="J65" s="15"/>
      <c r="K65" s="16"/>
      <c r="L65" s="15"/>
      <c r="M65" s="63"/>
      <c r="N65" s="17"/>
      <c r="O65" s="16"/>
      <c r="P65" s="18">
        <f t="shared" si="0"/>
        <v>0.83000000000000007</v>
      </c>
    </row>
    <row r="66" spans="2:16" x14ac:dyDescent="0.25">
      <c r="B66" s="12" t="s">
        <v>108</v>
      </c>
      <c r="C66" s="13" t="s">
        <v>109</v>
      </c>
      <c r="D66" s="14" t="s">
        <v>15</v>
      </c>
      <c r="E66" s="14" t="s">
        <v>16</v>
      </c>
      <c r="F66" s="15">
        <v>42867</v>
      </c>
      <c r="G66" s="16">
        <v>3.5</v>
      </c>
      <c r="H66" s="15"/>
      <c r="I66" s="16"/>
      <c r="J66" s="15"/>
      <c r="K66" s="16"/>
      <c r="L66" s="15"/>
      <c r="M66" s="63"/>
      <c r="N66" s="17"/>
      <c r="O66" s="16"/>
      <c r="P66" s="18">
        <f t="shared" si="0"/>
        <v>3.5</v>
      </c>
    </row>
    <row r="67" spans="2:16" x14ac:dyDescent="0.25">
      <c r="B67" s="12" t="s">
        <v>110</v>
      </c>
      <c r="C67" s="13" t="s">
        <v>111</v>
      </c>
      <c r="D67" s="14" t="s">
        <v>24</v>
      </c>
      <c r="E67" s="14" t="s">
        <v>16</v>
      </c>
      <c r="F67" s="15">
        <v>42885</v>
      </c>
      <c r="G67" s="16">
        <v>2.7</v>
      </c>
      <c r="H67" s="15"/>
      <c r="I67" s="16"/>
      <c r="J67" s="15"/>
      <c r="K67" s="16"/>
      <c r="L67" s="15"/>
      <c r="M67" s="63"/>
      <c r="N67" s="17"/>
      <c r="O67" s="16"/>
      <c r="P67" s="18">
        <f t="shared" si="0"/>
        <v>2.7</v>
      </c>
    </row>
    <row r="68" spans="2:16" x14ac:dyDescent="0.25">
      <c r="B68" s="19" t="s">
        <v>564</v>
      </c>
      <c r="C68" s="20" t="s">
        <v>591</v>
      </c>
      <c r="D68" s="21" t="s">
        <v>55</v>
      </c>
      <c r="E68" s="22" t="s">
        <v>56</v>
      </c>
      <c r="F68" s="23">
        <v>42774</v>
      </c>
      <c r="G68" s="24">
        <v>1.42</v>
      </c>
      <c r="H68" s="23">
        <v>42865</v>
      </c>
      <c r="I68" s="24">
        <v>1.42</v>
      </c>
      <c r="J68" s="23">
        <v>42956</v>
      </c>
      <c r="K68" s="24">
        <v>1.42</v>
      </c>
      <c r="L68" s="23">
        <v>43048</v>
      </c>
      <c r="M68" s="24">
        <v>1.42</v>
      </c>
      <c r="N68" s="25"/>
      <c r="O68" s="24"/>
      <c r="P68" s="26">
        <f t="shared" si="0"/>
        <v>5.68</v>
      </c>
    </row>
    <row r="69" spans="2:16" x14ac:dyDescent="0.25">
      <c r="B69" s="12" t="s">
        <v>114</v>
      </c>
      <c r="C69" s="13" t="s">
        <v>115</v>
      </c>
      <c r="D69" s="14" t="s">
        <v>24</v>
      </c>
      <c r="E69" s="14" t="s">
        <v>16</v>
      </c>
      <c r="F69" s="15">
        <v>42892</v>
      </c>
      <c r="G69" s="16">
        <v>0.04</v>
      </c>
      <c r="H69" s="15">
        <v>42986</v>
      </c>
      <c r="I69" s="16">
        <v>0.02</v>
      </c>
      <c r="J69" s="15"/>
      <c r="K69" s="16"/>
      <c r="L69" s="15"/>
      <c r="M69" s="63"/>
      <c r="N69" s="17"/>
      <c r="O69" s="16"/>
      <c r="P69" s="18">
        <f t="shared" si="0"/>
        <v>0.06</v>
      </c>
    </row>
    <row r="70" spans="2:16" x14ac:dyDescent="0.25">
      <c r="B70" s="12" t="s">
        <v>116</v>
      </c>
      <c r="C70" s="13" t="s">
        <v>117</v>
      </c>
      <c r="D70" s="14" t="s">
        <v>15</v>
      </c>
      <c r="E70" s="14" t="s">
        <v>16</v>
      </c>
      <c r="F70" s="15">
        <v>42731</v>
      </c>
      <c r="G70" s="16">
        <v>0.6</v>
      </c>
      <c r="H70" s="15">
        <v>42858</v>
      </c>
      <c r="I70" s="16">
        <v>0.8</v>
      </c>
      <c r="J70" s="15">
        <v>42984</v>
      </c>
      <c r="K70" s="16">
        <v>0.4</v>
      </c>
      <c r="L70" s="15"/>
      <c r="M70" s="63"/>
      <c r="N70" s="17"/>
      <c r="O70" s="16"/>
      <c r="P70" s="18">
        <f t="shared" si="0"/>
        <v>1.7999999999999998</v>
      </c>
    </row>
    <row r="71" spans="2:16" x14ac:dyDescent="0.25">
      <c r="B71" s="12" t="s">
        <v>118</v>
      </c>
      <c r="C71" s="13" t="s">
        <v>119</v>
      </c>
      <c r="D71" s="14" t="s">
        <v>15</v>
      </c>
      <c r="E71" s="14" t="s">
        <v>16</v>
      </c>
      <c r="F71" s="15">
        <v>42867</v>
      </c>
      <c r="G71" s="16">
        <v>1</v>
      </c>
      <c r="H71" s="15"/>
      <c r="I71" s="16"/>
      <c r="J71" s="15"/>
      <c r="K71" s="16"/>
      <c r="L71" s="15"/>
      <c r="M71" s="63"/>
      <c r="N71" s="17"/>
      <c r="O71" s="16"/>
      <c r="P71" s="18">
        <f t="shared" si="0"/>
        <v>1</v>
      </c>
    </row>
    <row r="72" spans="2:16" x14ac:dyDescent="0.25">
      <c r="B72" s="12" t="s">
        <v>120</v>
      </c>
      <c r="C72" s="13" t="s">
        <v>121</v>
      </c>
      <c r="D72" s="14" t="s">
        <v>24</v>
      </c>
      <c r="E72" s="14" t="s">
        <v>16</v>
      </c>
      <c r="F72" s="15">
        <v>42858</v>
      </c>
      <c r="G72" s="16">
        <v>1.6</v>
      </c>
      <c r="H72" s="15"/>
      <c r="I72" s="16"/>
      <c r="J72" s="15"/>
      <c r="K72" s="16"/>
      <c r="L72" s="15"/>
      <c r="M72" s="63"/>
      <c r="N72" s="17"/>
      <c r="O72" s="16"/>
      <c r="P72" s="18">
        <f t="shared" si="0"/>
        <v>1.6</v>
      </c>
    </row>
    <row r="73" spans="2:16" x14ac:dyDescent="0.25">
      <c r="B73" s="12" t="s">
        <v>122</v>
      </c>
      <c r="C73" s="13" t="s">
        <v>123</v>
      </c>
      <c r="D73" s="14" t="s">
        <v>15</v>
      </c>
      <c r="E73" s="14" t="s">
        <v>77</v>
      </c>
      <c r="F73" s="15">
        <v>42782</v>
      </c>
      <c r="G73" s="16">
        <v>8.1586999999999996</v>
      </c>
      <c r="H73" s="15">
        <v>42866</v>
      </c>
      <c r="I73" s="16">
        <v>7.7563000000000004</v>
      </c>
      <c r="J73" s="15">
        <v>42957</v>
      </c>
      <c r="K73" s="16">
        <v>7.6212999999999997</v>
      </c>
      <c r="L73" s="15">
        <v>43048</v>
      </c>
      <c r="M73" s="16">
        <v>7.4435000000000002</v>
      </c>
      <c r="N73" s="17"/>
      <c r="O73" s="16"/>
      <c r="P73" s="18">
        <f t="shared" si="0"/>
        <v>30.979799999999997</v>
      </c>
    </row>
    <row r="74" spans="2:16" x14ac:dyDescent="0.25">
      <c r="B74" s="12" t="s">
        <v>124</v>
      </c>
      <c r="C74" s="13" t="s">
        <v>125</v>
      </c>
      <c r="D74" s="14" t="s">
        <v>15</v>
      </c>
      <c r="E74" s="14" t="s">
        <v>16</v>
      </c>
      <c r="F74" s="15">
        <v>42877</v>
      </c>
      <c r="G74" s="16">
        <v>0.06</v>
      </c>
      <c r="H74" s="15"/>
      <c r="I74" s="16"/>
      <c r="J74" s="15"/>
      <c r="K74" s="16"/>
      <c r="L74" s="15"/>
      <c r="M74" s="63"/>
      <c r="N74" s="17"/>
      <c r="O74" s="16"/>
      <c r="P74" s="18">
        <f t="shared" si="0"/>
        <v>0.06</v>
      </c>
    </row>
    <row r="75" spans="2:16" x14ac:dyDescent="0.25">
      <c r="B75" s="12" t="s">
        <v>126</v>
      </c>
      <c r="C75" s="13" t="s">
        <v>127</v>
      </c>
      <c r="D75" s="14" t="s">
        <v>27</v>
      </c>
      <c r="E75" s="14" t="s">
        <v>16</v>
      </c>
      <c r="F75" s="15">
        <v>42870</v>
      </c>
      <c r="G75" s="16">
        <v>0.25</v>
      </c>
      <c r="H75" s="15">
        <v>43076</v>
      </c>
      <c r="I75" s="16">
        <v>1.06</v>
      </c>
      <c r="J75" s="15"/>
      <c r="K75" s="16"/>
      <c r="L75" s="15"/>
      <c r="M75" s="63"/>
      <c r="N75" s="17"/>
      <c r="O75" s="16"/>
      <c r="P75" s="18">
        <f t="shared" si="0"/>
        <v>1.31</v>
      </c>
    </row>
    <row r="76" spans="2:16" x14ac:dyDescent="0.25">
      <c r="B76" s="19" t="s">
        <v>566</v>
      </c>
      <c r="C76" s="20" t="s">
        <v>593</v>
      </c>
      <c r="D76" s="21" t="s">
        <v>55</v>
      </c>
      <c r="E76" s="22" t="s">
        <v>56</v>
      </c>
      <c r="F76" s="23">
        <v>42830</v>
      </c>
      <c r="G76" s="24">
        <v>0.39</v>
      </c>
      <c r="H76" s="23">
        <v>42921</v>
      </c>
      <c r="I76" s="24">
        <v>0.39</v>
      </c>
      <c r="J76" s="23">
        <v>43013</v>
      </c>
      <c r="K76" s="24">
        <v>0.39</v>
      </c>
      <c r="L76" s="23">
        <v>43104</v>
      </c>
      <c r="M76" s="77">
        <v>0.4</v>
      </c>
      <c r="N76" s="25"/>
      <c r="O76" s="24"/>
      <c r="P76" s="26">
        <f t="shared" si="0"/>
        <v>1.5699999999999998</v>
      </c>
    </row>
    <row r="77" spans="2:16" x14ac:dyDescent="0.25">
      <c r="B77" s="12" t="s">
        <v>128</v>
      </c>
      <c r="C77" s="13" t="s">
        <v>129</v>
      </c>
      <c r="D77" s="14" t="s">
        <v>15</v>
      </c>
      <c r="E77" s="14" t="s">
        <v>77</v>
      </c>
      <c r="F77" s="15">
        <v>42810</v>
      </c>
      <c r="G77" s="16">
        <v>118.1</v>
      </c>
      <c r="H77" s="15">
        <v>42964</v>
      </c>
      <c r="I77" s="16">
        <v>56.5</v>
      </c>
      <c r="J77" s="15"/>
      <c r="K77" s="16"/>
      <c r="L77" s="15"/>
      <c r="M77" s="63"/>
      <c r="N77" s="17"/>
      <c r="O77" s="16"/>
      <c r="P77" s="18">
        <f t="shared" si="0"/>
        <v>174.6</v>
      </c>
    </row>
    <row r="78" spans="2:16" x14ac:dyDescent="0.25">
      <c r="B78" s="19" t="s">
        <v>568</v>
      </c>
      <c r="C78" s="20" t="s">
        <v>595</v>
      </c>
      <c r="D78" s="21" t="s">
        <v>55</v>
      </c>
      <c r="E78" s="22" t="s">
        <v>56</v>
      </c>
      <c r="F78" s="23">
        <v>42810</v>
      </c>
      <c r="G78" s="24">
        <v>1.02</v>
      </c>
      <c r="H78" s="23">
        <v>42901</v>
      </c>
      <c r="I78" s="24">
        <v>1.02</v>
      </c>
      <c r="J78" s="23">
        <v>42996</v>
      </c>
      <c r="K78" s="24">
        <v>1.02</v>
      </c>
      <c r="L78" s="23">
        <v>43087</v>
      </c>
      <c r="M78" s="77">
        <v>1.75</v>
      </c>
      <c r="N78" s="25"/>
      <c r="O78" s="24"/>
      <c r="P78" s="26">
        <f t="shared" si="0"/>
        <v>4.8100000000000005</v>
      </c>
    </row>
    <row r="79" spans="2:16" x14ac:dyDescent="0.25">
      <c r="B79" s="12" t="s">
        <v>130</v>
      </c>
      <c r="C79" s="13" t="s">
        <v>131</v>
      </c>
      <c r="D79" s="14" t="s">
        <v>15</v>
      </c>
      <c r="E79" s="14" t="s">
        <v>77</v>
      </c>
      <c r="F79" s="15">
        <v>42733</v>
      </c>
      <c r="G79" s="16">
        <v>4.8499999999999996</v>
      </c>
      <c r="H79" s="15">
        <v>42957</v>
      </c>
      <c r="I79" s="16">
        <v>10.55</v>
      </c>
      <c r="J79" s="15"/>
      <c r="K79" s="16"/>
      <c r="L79" s="15"/>
      <c r="M79" s="63"/>
      <c r="N79" s="17"/>
      <c r="O79" s="16"/>
      <c r="P79" s="18">
        <f t="shared" si="0"/>
        <v>15.4</v>
      </c>
    </row>
    <row r="80" spans="2:16" x14ac:dyDescent="0.25">
      <c r="B80" s="12" t="s">
        <v>132</v>
      </c>
      <c r="C80" s="13" t="s">
        <v>133</v>
      </c>
      <c r="D80" s="14" t="s">
        <v>15</v>
      </c>
      <c r="E80" s="14" t="s">
        <v>16</v>
      </c>
      <c r="F80" s="15">
        <v>42836</v>
      </c>
      <c r="G80" s="16">
        <v>0.06</v>
      </c>
      <c r="H80" s="15">
        <v>43039</v>
      </c>
      <c r="I80" s="16">
        <v>7.0000000000000007E-2</v>
      </c>
      <c r="J80" s="15"/>
      <c r="K80" s="16"/>
      <c r="L80" s="15"/>
      <c r="M80" s="63"/>
      <c r="N80" s="17"/>
      <c r="O80" s="16"/>
      <c r="P80" s="18">
        <f t="shared" ref="P80:P143" si="1">G80+I80+K80+M80+O80</f>
        <v>0.13</v>
      </c>
    </row>
    <row r="81" spans="1:17" x14ac:dyDescent="0.25">
      <c r="B81" s="12" t="s">
        <v>608</v>
      </c>
      <c r="C81" s="13" t="s">
        <v>134</v>
      </c>
      <c r="D81" s="14" t="s">
        <v>24</v>
      </c>
      <c r="E81" s="14" t="s">
        <v>16</v>
      </c>
      <c r="F81" s="15">
        <v>42877</v>
      </c>
      <c r="G81" s="16">
        <v>1.55</v>
      </c>
      <c r="H81" s="15"/>
      <c r="I81" s="16"/>
      <c r="J81" s="15"/>
      <c r="K81" s="16"/>
      <c r="L81" s="15"/>
      <c r="M81" s="63"/>
      <c r="N81" s="17"/>
      <c r="O81" s="16"/>
      <c r="P81" s="18">
        <f t="shared" si="1"/>
        <v>1.55</v>
      </c>
    </row>
    <row r="82" spans="1:17" x14ac:dyDescent="0.25">
      <c r="B82" s="12" t="s">
        <v>135</v>
      </c>
      <c r="C82" s="13" t="s">
        <v>136</v>
      </c>
      <c r="D82" s="14" t="s">
        <v>24</v>
      </c>
      <c r="E82" s="14" t="s">
        <v>16</v>
      </c>
      <c r="F82" s="15">
        <v>42907</v>
      </c>
      <c r="G82" s="16">
        <v>0.7</v>
      </c>
      <c r="H82" s="15"/>
      <c r="I82" s="16"/>
      <c r="J82" s="15"/>
      <c r="K82" s="16"/>
      <c r="L82" s="15"/>
      <c r="M82" s="63"/>
      <c r="N82" s="17"/>
      <c r="O82" s="16"/>
      <c r="P82" s="18">
        <f t="shared" si="1"/>
        <v>0.7</v>
      </c>
    </row>
    <row r="83" spans="1:17" x14ac:dyDescent="0.25">
      <c r="B83" s="12" t="s">
        <v>137</v>
      </c>
      <c r="C83" s="13" t="s">
        <v>138</v>
      </c>
      <c r="D83" s="14" t="s">
        <v>24</v>
      </c>
      <c r="E83" s="14" t="s">
        <v>16</v>
      </c>
      <c r="F83" s="15">
        <v>42864</v>
      </c>
      <c r="G83" s="16">
        <v>1.56</v>
      </c>
      <c r="H83" s="15">
        <v>43076</v>
      </c>
      <c r="I83" s="16">
        <v>1.56</v>
      </c>
      <c r="J83" s="15"/>
      <c r="K83" s="16"/>
      <c r="L83" s="15"/>
      <c r="M83" s="63"/>
      <c r="N83" s="17"/>
      <c r="O83" s="16"/>
      <c r="P83" s="18">
        <f t="shared" si="1"/>
        <v>3.12</v>
      </c>
    </row>
    <row r="84" spans="1:17" x14ac:dyDescent="0.25">
      <c r="B84" s="12" t="s">
        <v>139</v>
      </c>
      <c r="C84" s="13" t="s">
        <v>140</v>
      </c>
      <c r="D84" s="14" t="s">
        <v>15</v>
      </c>
      <c r="E84" s="14" t="s">
        <v>77</v>
      </c>
      <c r="F84" s="15">
        <v>42866</v>
      </c>
      <c r="G84" s="16">
        <v>8.4</v>
      </c>
      <c r="H84" s="15">
        <v>43020</v>
      </c>
      <c r="I84" s="16">
        <v>3.6</v>
      </c>
      <c r="J84" s="15"/>
      <c r="K84" s="16"/>
      <c r="L84" s="15"/>
      <c r="M84" s="63"/>
      <c r="N84" s="17"/>
      <c r="O84" s="16"/>
      <c r="P84" s="18">
        <f t="shared" si="1"/>
        <v>12</v>
      </c>
    </row>
    <row r="85" spans="1:17" x14ac:dyDescent="0.25">
      <c r="B85" s="19" t="s">
        <v>141</v>
      </c>
      <c r="C85" s="20" t="s">
        <v>142</v>
      </c>
      <c r="D85" s="21" t="s">
        <v>55</v>
      </c>
      <c r="E85" s="22" t="s">
        <v>56</v>
      </c>
      <c r="F85" s="23">
        <v>42780</v>
      </c>
      <c r="G85" s="24">
        <v>1.08</v>
      </c>
      <c r="H85" s="23">
        <v>42872</v>
      </c>
      <c r="I85" s="24">
        <v>1.08</v>
      </c>
      <c r="J85" s="23">
        <v>42963</v>
      </c>
      <c r="K85" s="24">
        <v>1.08</v>
      </c>
      <c r="L85" s="23">
        <v>43055</v>
      </c>
      <c r="M85" s="77">
        <v>1.08</v>
      </c>
      <c r="N85" s="25"/>
      <c r="O85" s="24"/>
      <c r="P85" s="26">
        <f t="shared" si="1"/>
        <v>4.32</v>
      </c>
    </row>
    <row r="86" spans="1:17" x14ac:dyDescent="0.25">
      <c r="B86" s="19" t="s">
        <v>143</v>
      </c>
      <c r="C86" s="20" t="s">
        <v>144</v>
      </c>
      <c r="D86" s="21" t="s">
        <v>55</v>
      </c>
      <c r="E86" s="22" t="s">
        <v>56</v>
      </c>
      <c r="F86" s="23">
        <v>42829</v>
      </c>
      <c r="G86" s="24">
        <v>0.28999999999999998</v>
      </c>
      <c r="H86" s="23">
        <v>42921</v>
      </c>
      <c r="I86" s="24">
        <v>0.28999999999999998</v>
      </c>
      <c r="J86" s="23">
        <v>43012</v>
      </c>
      <c r="K86" s="24">
        <v>0.28999999999999998</v>
      </c>
      <c r="L86" s="23">
        <v>43104</v>
      </c>
      <c r="M86" s="77">
        <v>0.28999999999999998</v>
      </c>
      <c r="N86" s="25"/>
      <c r="O86" s="24"/>
      <c r="P86" s="26">
        <f t="shared" si="1"/>
        <v>1.1599999999999999</v>
      </c>
    </row>
    <row r="87" spans="1:17" x14ac:dyDescent="0.25">
      <c r="B87" s="19" t="s">
        <v>145</v>
      </c>
      <c r="C87" s="20" t="s">
        <v>146</v>
      </c>
      <c r="D87" s="21" t="s">
        <v>55</v>
      </c>
      <c r="E87" s="22" t="s">
        <v>56</v>
      </c>
      <c r="F87" s="23">
        <v>42768</v>
      </c>
      <c r="G87" s="24">
        <v>0.16</v>
      </c>
      <c r="H87" s="23">
        <v>42852</v>
      </c>
      <c r="I87" s="24">
        <v>0.16</v>
      </c>
      <c r="J87" s="23">
        <v>42950</v>
      </c>
      <c r="K87" s="24">
        <v>0.32</v>
      </c>
      <c r="L87" s="23">
        <v>43042</v>
      </c>
      <c r="M87" s="24">
        <v>0.32</v>
      </c>
      <c r="N87" s="25"/>
      <c r="O87" s="24"/>
      <c r="P87" s="26">
        <f t="shared" si="1"/>
        <v>0.96</v>
      </c>
    </row>
    <row r="88" spans="1:17" x14ac:dyDescent="0.25">
      <c r="B88" s="19" t="s">
        <v>147</v>
      </c>
      <c r="C88" s="20" t="s">
        <v>148</v>
      </c>
      <c r="D88" s="21" t="s">
        <v>55</v>
      </c>
      <c r="E88" s="22" t="s">
        <v>56</v>
      </c>
      <c r="F88" s="23">
        <v>42802</v>
      </c>
      <c r="G88" s="24">
        <v>0.66</v>
      </c>
      <c r="H88" s="23">
        <v>42893</v>
      </c>
      <c r="I88" s="24">
        <v>0.66</v>
      </c>
      <c r="J88" s="23">
        <v>42985</v>
      </c>
      <c r="K88" s="24">
        <v>0.66</v>
      </c>
      <c r="L88" s="23">
        <v>43076</v>
      </c>
      <c r="M88" s="77">
        <v>0.66</v>
      </c>
      <c r="N88" s="25"/>
      <c r="O88" s="24"/>
      <c r="P88" s="26">
        <f t="shared" si="1"/>
        <v>2.64</v>
      </c>
    </row>
    <row r="89" spans="1:17" x14ac:dyDescent="0.25">
      <c r="B89" s="19" t="s">
        <v>149</v>
      </c>
      <c r="C89" s="20" t="s">
        <v>150</v>
      </c>
      <c r="D89" s="21" t="s">
        <v>55</v>
      </c>
      <c r="E89" s="22" t="s">
        <v>56</v>
      </c>
      <c r="F89" s="23">
        <v>42807</v>
      </c>
      <c r="G89" s="24">
        <v>0.37</v>
      </c>
      <c r="H89" s="23">
        <v>42899</v>
      </c>
      <c r="I89" s="24">
        <v>0.37</v>
      </c>
      <c r="J89" s="23">
        <v>42992</v>
      </c>
      <c r="K89" s="24">
        <v>0.37</v>
      </c>
      <c r="L89" s="23">
        <v>43069</v>
      </c>
      <c r="M89" s="77">
        <v>0.37</v>
      </c>
      <c r="N89" s="25"/>
      <c r="O89" s="24"/>
      <c r="P89" s="26">
        <f t="shared" si="1"/>
        <v>1.48</v>
      </c>
    </row>
    <row r="90" spans="1:17" x14ac:dyDescent="0.25">
      <c r="B90" s="12" t="s">
        <v>151</v>
      </c>
      <c r="C90" s="13" t="s">
        <v>152</v>
      </c>
      <c r="D90" s="14" t="s">
        <v>15</v>
      </c>
      <c r="E90" s="14" t="s">
        <v>16</v>
      </c>
      <c r="F90" s="15">
        <v>42915</v>
      </c>
      <c r="G90" s="16">
        <v>0.44</v>
      </c>
      <c r="H90" s="15"/>
      <c r="I90" s="16"/>
      <c r="J90" s="15"/>
      <c r="K90" s="16"/>
      <c r="L90" s="15"/>
      <c r="M90" s="63"/>
      <c r="N90" s="17"/>
      <c r="O90" s="16"/>
      <c r="P90" s="18">
        <f t="shared" si="1"/>
        <v>0.44</v>
      </c>
    </row>
    <row r="91" spans="1:17" x14ac:dyDescent="0.25">
      <c r="B91" s="12" t="s">
        <v>153</v>
      </c>
      <c r="C91" s="13" t="s">
        <v>154</v>
      </c>
      <c r="D91" s="14" t="s">
        <v>27</v>
      </c>
      <c r="E91" s="14" t="s">
        <v>16</v>
      </c>
      <c r="F91" s="15">
        <v>43007</v>
      </c>
      <c r="G91" s="16">
        <v>1.18</v>
      </c>
      <c r="H91" s="15"/>
      <c r="I91" s="16"/>
      <c r="J91" s="15"/>
      <c r="K91" s="16"/>
      <c r="L91" s="15"/>
      <c r="M91" s="63"/>
      <c r="N91" s="17"/>
      <c r="O91" s="16"/>
      <c r="P91" s="18">
        <f t="shared" si="1"/>
        <v>1.18</v>
      </c>
    </row>
    <row r="92" spans="1:17" x14ac:dyDescent="0.25">
      <c r="B92" s="19" t="s">
        <v>550</v>
      </c>
      <c r="C92" s="20" t="s">
        <v>155</v>
      </c>
      <c r="D92" s="21" t="s">
        <v>55</v>
      </c>
      <c r="E92" s="22" t="s">
        <v>56</v>
      </c>
      <c r="F92" s="23">
        <v>42828</v>
      </c>
      <c r="G92" s="24">
        <v>0.1575</v>
      </c>
      <c r="H92" s="23">
        <v>42916</v>
      </c>
      <c r="I92" s="24">
        <v>0.1575</v>
      </c>
      <c r="J92" s="23">
        <v>43011</v>
      </c>
      <c r="K92" s="24">
        <v>0.1575</v>
      </c>
      <c r="L92" s="23">
        <v>43102</v>
      </c>
      <c r="M92" s="77">
        <v>0.1575</v>
      </c>
      <c r="N92" s="25"/>
      <c r="O92" s="24"/>
      <c r="P92" s="26">
        <f t="shared" si="1"/>
        <v>0.63</v>
      </c>
    </row>
    <row r="93" spans="1:17" x14ac:dyDescent="0.25">
      <c r="B93" s="12" t="s">
        <v>156</v>
      </c>
      <c r="C93" s="13" t="s">
        <v>157</v>
      </c>
      <c r="D93" s="14" t="s">
        <v>15</v>
      </c>
      <c r="E93" s="14" t="s">
        <v>21</v>
      </c>
      <c r="F93" s="15">
        <v>42998</v>
      </c>
      <c r="G93" s="16">
        <v>1.8</v>
      </c>
      <c r="H93" s="15"/>
      <c r="I93" s="16"/>
      <c r="J93" s="15"/>
      <c r="K93" s="16"/>
      <c r="L93" s="15"/>
      <c r="M93" s="63"/>
      <c r="N93" s="17"/>
      <c r="O93" s="16"/>
      <c r="P93" s="18">
        <f t="shared" si="1"/>
        <v>1.8</v>
      </c>
    </row>
    <row r="94" spans="1:17" x14ac:dyDescent="0.25">
      <c r="B94" s="31" t="s">
        <v>158</v>
      </c>
      <c r="C94" s="32" t="s">
        <v>159</v>
      </c>
      <c r="D94" s="14" t="s">
        <v>15</v>
      </c>
      <c r="E94" s="14" t="s">
        <v>77</v>
      </c>
      <c r="F94" s="29">
        <v>42754</v>
      </c>
      <c r="G94" s="69">
        <v>21.944000000000003</v>
      </c>
      <c r="H94" s="29">
        <v>42873</v>
      </c>
      <c r="I94" s="71">
        <v>11.648</v>
      </c>
      <c r="J94" s="15"/>
      <c r="K94" s="16"/>
      <c r="L94" s="15"/>
      <c r="M94" s="63"/>
      <c r="N94" s="17"/>
      <c r="O94" s="16"/>
      <c r="P94" s="18">
        <f t="shared" si="1"/>
        <v>33.591999999999999</v>
      </c>
    </row>
    <row r="95" spans="1:17" x14ac:dyDescent="0.25">
      <c r="B95" s="19" t="s">
        <v>160</v>
      </c>
      <c r="C95" s="66" t="s">
        <v>161</v>
      </c>
      <c r="D95" s="21" t="s">
        <v>55</v>
      </c>
      <c r="E95" s="22" t="s">
        <v>56</v>
      </c>
      <c r="F95" s="23">
        <v>42776</v>
      </c>
      <c r="G95" s="24">
        <v>0.26500000000000001</v>
      </c>
      <c r="H95" s="23">
        <v>42866</v>
      </c>
      <c r="I95" s="24">
        <v>0.26500000000000001</v>
      </c>
      <c r="J95" s="23">
        <v>42936</v>
      </c>
      <c r="K95" s="24">
        <v>0.26500000000000001</v>
      </c>
      <c r="L95" s="23">
        <v>43021</v>
      </c>
      <c r="M95" s="24">
        <v>0.26500000000000001</v>
      </c>
      <c r="N95" s="25"/>
      <c r="O95" s="24"/>
      <c r="P95" s="26">
        <f t="shared" si="1"/>
        <v>1.06</v>
      </c>
    </row>
    <row r="96" spans="1:17" x14ac:dyDescent="0.25">
      <c r="A96" s="33"/>
      <c r="B96" s="34" t="s">
        <v>162</v>
      </c>
      <c r="C96" s="35" t="s">
        <v>163</v>
      </c>
      <c r="D96" s="14" t="s">
        <v>15</v>
      </c>
      <c r="E96" s="14" t="s">
        <v>16</v>
      </c>
      <c r="F96" s="15">
        <v>42857</v>
      </c>
      <c r="G96" s="16">
        <v>4.25</v>
      </c>
      <c r="H96" s="15"/>
      <c r="I96" s="16"/>
      <c r="J96" s="15"/>
      <c r="K96" s="16"/>
      <c r="L96" s="15"/>
      <c r="M96" s="63"/>
      <c r="N96" s="17"/>
      <c r="O96" s="16"/>
      <c r="P96" s="18">
        <f t="shared" si="1"/>
        <v>4.25</v>
      </c>
      <c r="Q96" s="36"/>
    </row>
    <row r="97" spans="1:17" x14ac:dyDescent="0.25">
      <c r="A97" s="33"/>
      <c r="B97" s="34" t="s">
        <v>164</v>
      </c>
      <c r="C97" s="35" t="s">
        <v>165</v>
      </c>
      <c r="D97" s="14" t="s">
        <v>24</v>
      </c>
      <c r="E97" s="14" t="s">
        <v>16</v>
      </c>
      <c r="F97" s="15">
        <v>42884</v>
      </c>
      <c r="G97" s="16">
        <v>0.6</v>
      </c>
      <c r="H97" s="15"/>
      <c r="I97" s="16"/>
      <c r="J97" s="15"/>
      <c r="K97" s="16"/>
      <c r="L97" s="15"/>
      <c r="M97" s="63"/>
      <c r="N97" s="17"/>
      <c r="O97" s="16"/>
      <c r="P97" s="18">
        <f t="shared" si="1"/>
        <v>0.6</v>
      </c>
      <c r="Q97" s="36"/>
    </row>
    <row r="98" spans="1:17" x14ac:dyDescent="0.25">
      <c r="A98" s="33"/>
      <c r="B98" s="37" t="s">
        <v>166</v>
      </c>
      <c r="C98" s="13" t="s">
        <v>167</v>
      </c>
      <c r="D98" s="14" t="s">
        <v>15</v>
      </c>
      <c r="E98" s="14" t="s">
        <v>21</v>
      </c>
      <c r="F98" s="29">
        <v>42864</v>
      </c>
      <c r="G98" s="69">
        <v>0.6754</v>
      </c>
      <c r="H98" s="15"/>
      <c r="I98" s="16"/>
      <c r="J98" s="15"/>
      <c r="K98" s="16"/>
      <c r="L98" s="15"/>
      <c r="M98" s="63"/>
      <c r="N98" s="17"/>
      <c r="O98" s="16"/>
      <c r="P98" s="18">
        <f t="shared" si="1"/>
        <v>0.6754</v>
      </c>
      <c r="Q98" s="36"/>
    </row>
    <row r="99" spans="1:17" x14ac:dyDescent="0.25">
      <c r="A99" s="33"/>
      <c r="B99" s="37" t="s">
        <v>168</v>
      </c>
      <c r="C99" s="13" t="s">
        <v>169</v>
      </c>
      <c r="D99" s="14" t="s">
        <v>15</v>
      </c>
      <c r="E99" s="14" t="s">
        <v>16</v>
      </c>
      <c r="F99" s="15">
        <v>42803</v>
      </c>
      <c r="G99" s="16">
        <v>0.46200000000000002</v>
      </c>
      <c r="H99" s="15">
        <v>42985</v>
      </c>
      <c r="I99" s="16">
        <v>0.192</v>
      </c>
      <c r="J99" s="15"/>
      <c r="K99" s="16"/>
      <c r="L99" s="15"/>
      <c r="M99" s="63"/>
      <c r="N99" s="17"/>
      <c r="O99" s="16"/>
      <c r="P99" s="18">
        <f t="shared" si="1"/>
        <v>0.65400000000000003</v>
      </c>
      <c r="Q99" s="36"/>
    </row>
    <row r="100" spans="1:17" x14ac:dyDescent="0.25">
      <c r="A100" s="33"/>
      <c r="B100" s="38" t="s">
        <v>577</v>
      </c>
      <c r="C100" s="20" t="s">
        <v>604</v>
      </c>
      <c r="D100" s="21" t="s">
        <v>55</v>
      </c>
      <c r="E100" s="22" t="s">
        <v>56</v>
      </c>
      <c r="F100" s="23">
        <v>42844</v>
      </c>
      <c r="G100" s="24">
        <v>0.5</v>
      </c>
      <c r="H100" s="23">
        <v>42936</v>
      </c>
      <c r="I100" s="24">
        <v>0.5</v>
      </c>
      <c r="J100" s="23">
        <v>43031</v>
      </c>
      <c r="K100" s="24">
        <v>0.5</v>
      </c>
      <c r="L100" s="23"/>
      <c r="M100" s="77"/>
      <c r="N100" s="25"/>
      <c r="O100" s="24"/>
      <c r="P100" s="26">
        <f t="shared" si="1"/>
        <v>1.5</v>
      </c>
      <c r="Q100" s="36"/>
    </row>
    <row r="101" spans="1:17" x14ac:dyDescent="0.25">
      <c r="B101" s="12" t="s">
        <v>170</v>
      </c>
      <c r="C101" s="13" t="s">
        <v>171</v>
      </c>
      <c r="D101" s="14" t="s">
        <v>15</v>
      </c>
      <c r="E101" s="14" t="s">
        <v>16</v>
      </c>
      <c r="F101" s="15">
        <v>42824</v>
      </c>
      <c r="G101" s="16">
        <v>3.25</v>
      </c>
      <c r="H101" s="15"/>
      <c r="I101" s="16"/>
      <c r="J101" s="15"/>
      <c r="K101" s="16"/>
      <c r="L101" s="15"/>
      <c r="M101" s="63"/>
      <c r="N101" s="17"/>
      <c r="O101" s="16"/>
      <c r="P101" s="18">
        <f t="shared" si="1"/>
        <v>3.25</v>
      </c>
    </row>
    <row r="102" spans="1:17" x14ac:dyDescent="0.25">
      <c r="B102" s="12" t="s">
        <v>172</v>
      </c>
      <c r="C102" s="13" t="s">
        <v>173</v>
      </c>
      <c r="D102" s="14" t="s">
        <v>24</v>
      </c>
      <c r="E102" s="14" t="s">
        <v>16</v>
      </c>
      <c r="F102" s="15">
        <v>42860</v>
      </c>
      <c r="G102" s="16">
        <v>1.7</v>
      </c>
      <c r="H102" s="15"/>
      <c r="I102" s="16"/>
      <c r="J102" s="15"/>
      <c r="K102" s="16"/>
      <c r="L102" s="15"/>
      <c r="M102" s="63"/>
      <c r="N102" s="17"/>
      <c r="O102" s="16"/>
      <c r="P102" s="18">
        <f t="shared" si="1"/>
        <v>1.7</v>
      </c>
    </row>
    <row r="103" spans="1:17" x14ac:dyDescent="0.25">
      <c r="B103" s="12" t="s">
        <v>174</v>
      </c>
      <c r="C103" s="13" t="s">
        <v>175</v>
      </c>
      <c r="D103" s="14" t="s">
        <v>15</v>
      </c>
      <c r="E103" s="14" t="s">
        <v>16</v>
      </c>
      <c r="F103" s="15">
        <v>42874</v>
      </c>
      <c r="G103" s="16">
        <v>0.19</v>
      </c>
      <c r="H103" s="15"/>
      <c r="I103" s="16"/>
      <c r="J103" s="15"/>
      <c r="K103" s="16"/>
      <c r="L103" s="15"/>
      <c r="M103" s="63"/>
      <c r="N103" s="17"/>
      <c r="O103" s="16"/>
      <c r="P103" s="18">
        <f t="shared" si="1"/>
        <v>0.19</v>
      </c>
    </row>
    <row r="104" spans="1:17" x14ac:dyDescent="0.25">
      <c r="B104" s="12" t="s">
        <v>176</v>
      </c>
      <c r="C104" s="13" t="s">
        <v>177</v>
      </c>
      <c r="D104" s="14" t="s">
        <v>15</v>
      </c>
      <c r="E104" s="14" t="s">
        <v>16</v>
      </c>
      <c r="F104" s="15">
        <v>42873</v>
      </c>
      <c r="G104" s="16">
        <v>2.35</v>
      </c>
      <c r="H104" s="15"/>
      <c r="I104" s="16"/>
      <c r="J104" s="15"/>
      <c r="K104" s="16"/>
      <c r="L104" s="15"/>
      <c r="M104" s="63"/>
      <c r="N104" s="17"/>
      <c r="O104" s="16"/>
      <c r="P104" s="18">
        <f t="shared" si="1"/>
        <v>2.35</v>
      </c>
    </row>
    <row r="105" spans="1:17" x14ac:dyDescent="0.25">
      <c r="B105" s="12" t="s">
        <v>178</v>
      </c>
      <c r="C105" s="13" t="s">
        <v>179</v>
      </c>
      <c r="D105" s="14" t="s">
        <v>15</v>
      </c>
      <c r="E105" s="14" t="s">
        <v>16</v>
      </c>
      <c r="F105" s="15">
        <v>42863</v>
      </c>
      <c r="G105" s="16">
        <v>0.5</v>
      </c>
      <c r="H105" s="15"/>
      <c r="I105" s="16"/>
      <c r="J105" s="15"/>
      <c r="K105" s="16"/>
      <c r="L105" s="15"/>
      <c r="M105" s="63"/>
      <c r="N105" s="17"/>
      <c r="O105" s="16"/>
      <c r="P105" s="18">
        <f t="shared" si="1"/>
        <v>0.5</v>
      </c>
    </row>
    <row r="106" spans="1:17" x14ac:dyDescent="0.25">
      <c r="B106" s="12" t="s">
        <v>180</v>
      </c>
      <c r="C106" s="13" t="s">
        <v>181</v>
      </c>
      <c r="D106" s="14" t="s">
        <v>15</v>
      </c>
      <c r="E106" s="14" t="s">
        <v>16</v>
      </c>
      <c r="F106" s="15">
        <v>42857</v>
      </c>
      <c r="G106" s="16">
        <v>1.05</v>
      </c>
      <c r="H106" s="15"/>
      <c r="I106" s="16"/>
      <c r="J106" s="15"/>
      <c r="K106" s="16"/>
      <c r="L106" s="15"/>
      <c r="M106" s="63"/>
      <c r="N106" s="17"/>
      <c r="O106" s="16"/>
      <c r="P106" s="18">
        <f t="shared" si="1"/>
        <v>1.05</v>
      </c>
    </row>
    <row r="107" spans="1:17" x14ac:dyDescent="0.25">
      <c r="B107" s="12" t="s">
        <v>182</v>
      </c>
      <c r="C107" s="13" t="s">
        <v>183</v>
      </c>
      <c r="D107" s="14" t="s">
        <v>15</v>
      </c>
      <c r="E107" s="14" t="s">
        <v>16</v>
      </c>
      <c r="F107" s="15">
        <v>42887</v>
      </c>
      <c r="G107" s="16">
        <v>0.6</v>
      </c>
      <c r="H107" s="15"/>
      <c r="I107" s="16"/>
      <c r="J107" s="15"/>
      <c r="K107" s="16"/>
      <c r="L107" s="15"/>
      <c r="M107" s="63"/>
      <c r="N107" s="17"/>
      <c r="O107" s="16"/>
      <c r="P107" s="18">
        <f t="shared" si="1"/>
        <v>0.6</v>
      </c>
    </row>
    <row r="108" spans="1:17" x14ac:dyDescent="0.25">
      <c r="B108" s="12" t="s">
        <v>184</v>
      </c>
      <c r="C108" s="13" t="s">
        <v>185</v>
      </c>
      <c r="D108" s="14" t="s">
        <v>15</v>
      </c>
      <c r="E108" s="14" t="s">
        <v>77</v>
      </c>
      <c r="F108" s="15">
        <v>42789</v>
      </c>
      <c r="G108" s="16">
        <v>23.7</v>
      </c>
      <c r="H108" s="15">
        <v>42957</v>
      </c>
      <c r="I108" s="16">
        <v>38.5</v>
      </c>
      <c r="J108" s="15"/>
      <c r="K108" s="16"/>
      <c r="L108" s="15"/>
      <c r="M108" s="63"/>
      <c r="N108" s="17"/>
      <c r="O108" s="16"/>
      <c r="P108" s="18">
        <f t="shared" si="1"/>
        <v>62.2</v>
      </c>
    </row>
    <row r="109" spans="1:17" x14ac:dyDescent="0.25">
      <c r="B109" s="12" t="s">
        <v>186</v>
      </c>
      <c r="C109" s="13" t="s">
        <v>187</v>
      </c>
      <c r="D109" s="14" t="s">
        <v>27</v>
      </c>
      <c r="E109" s="14" t="s">
        <v>16</v>
      </c>
      <c r="F109" s="15">
        <v>42892</v>
      </c>
      <c r="G109" s="16">
        <v>0.95</v>
      </c>
      <c r="H109" s="15"/>
      <c r="I109" s="16"/>
      <c r="J109" s="15"/>
      <c r="K109" s="16"/>
      <c r="L109" s="15"/>
      <c r="M109" s="63"/>
      <c r="N109" s="17"/>
      <c r="O109" s="16"/>
      <c r="P109" s="18">
        <f t="shared" si="1"/>
        <v>0.95</v>
      </c>
    </row>
    <row r="110" spans="1:17" x14ac:dyDescent="0.25">
      <c r="B110" s="12" t="s">
        <v>188</v>
      </c>
      <c r="C110" s="13" t="s">
        <v>189</v>
      </c>
      <c r="D110" s="14" t="s">
        <v>15</v>
      </c>
      <c r="E110" s="14" t="s">
        <v>16</v>
      </c>
      <c r="F110" s="15">
        <v>42930</v>
      </c>
      <c r="G110" s="16">
        <v>0.21</v>
      </c>
      <c r="H110" s="15"/>
      <c r="I110" s="16"/>
      <c r="J110" s="15"/>
      <c r="K110" s="16"/>
      <c r="L110" s="15"/>
      <c r="M110" s="63"/>
      <c r="N110" s="17"/>
      <c r="O110" s="16"/>
      <c r="P110" s="18">
        <f t="shared" si="1"/>
        <v>0.21</v>
      </c>
    </row>
    <row r="111" spans="1:17" x14ac:dyDescent="0.25">
      <c r="B111" s="12" t="s">
        <v>190</v>
      </c>
      <c r="C111" s="13" t="s">
        <v>191</v>
      </c>
      <c r="D111" s="14" t="s">
        <v>15</v>
      </c>
      <c r="E111" s="14" t="s">
        <v>16</v>
      </c>
      <c r="F111" s="15">
        <v>42860</v>
      </c>
      <c r="G111" s="16">
        <v>1.2</v>
      </c>
      <c r="H111" s="15">
        <v>42950</v>
      </c>
      <c r="I111" s="16">
        <v>0.57999999999999996</v>
      </c>
      <c r="J111" s="15"/>
      <c r="K111" s="16"/>
      <c r="L111" s="15"/>
      <c r="M111" s="63"/>
      <c r="N111" s="17"/>
      <c r="O111" s="16"/>
      <c r="P111" s="18">
        <f t="shared" si="1"/>
        <v>1.7799999999999998</v>
      </c>
    </row>
    <row r="112" spans="1:17" x14ac:dyDescent="0.25">
      <c r="B112" s="19" t="s">
        <v>192</v>
      </c>
      <c r="C112" s="20" t="s">
        <v>193</v>
      </c>
      <c r="D112" s="21" t="s">
        <v>55</v>
      </c>
      <c r="E112" s="22" t="s">
        <v>56</v>
      </c>
      <c r="F112" s="23">
        <v>42780</v>
      </c>
      <c r="G112" s="24">
        <v>0.85499999999999998</v>
      </c>
      <c r="H112" s="23">
        <v>42872</v>
      </c>
      <c r="I112" s="24">
        <v>0.85499999999999998</v>
      </c>
      <c r="J112" s="23">
        <v>42963</v>
      </c>
      <c r="K112" s="24">
        <v>0.89</v>
      </c>
      <c r="L112" s="23">
        <v>43055</v>
      </c>
      <c r="M112" s="77">
        <v>0.89</v>
      </c>
      <c r="N112" s="25"/>
      <c r="O112" s="24"/>
      <c r="P112" s="26">
        <f t="shared" si="1"/>
        <v>3.49</v>
      </c>
    </row>
    <row r="113" spans="2:16" x14ac:dyDescent="0.25">
      <c r="B113" s="12" t="s">
        <v>194</v>
      </c>
      <c r="C113" s="13" t="s">
        <v>195</v>
      </c>
      <c r="D113" s="14" t="s">
        <v>15</v>
      </c>
      <c r="E113" s="14" t="s">
        <v>16</v>
      </c>
      <c r="F113" s="15">
        <v>42866</v>
      </c>
      <c r="G113" s="16">
        <v>0.21</v>
      </c>
      <c r="H113" s="15"/>
      <c r="I113" s="16"/>
      <c r="J113" s="15"/>
      <c r="K113" s="16"/>
      <c r="L113" s="15"/>
      <c r="M113" s="63"/>
      <c r="N113" s="17"/>
      <c r="O113" s="16"/>
      <c r="P113" s="18">
        <f t="shared" si="1"/>
        <v>0.21</v>
      </c>
    </row>
    <row r="114" spans="2:16" x14ac:dyDescent="0.25">
      <c r="B114" s="12" t="s">
        <v>196</v>
      </c>
      <c r="C114" s="13" t="s">
        <v>197</v>
      </c>
      <c r="D114" s="14" t="s">
        <v>24</v>
      </c>
      <c r="E114" s="14" t="s">
        <v>16</v>
      </c>
      <c r="F114" s="15">
        <v>42892</v>
      </c>
      <c r="G114" s="16">
        <v>0.4</v>
      </c>
      <c r="H114" s="15">
        <v>43055</v>
      </c>
      <c r="I114" s="16">
        <v>0.15</v>
      </c>
      <c r="J114" s="15"/>
      <c r="K114" s="16"/>
      <c r="L114" s="15"/>
      <c r="M114" s="63"/>
      <c r="N114" s="17"/>
      <c r="O114" s="16"/>
      <c r="P114" s="18">
        <f t="shared" si="1"/>
        <v>0.55000000000000004</v>
      </c>
    </row>
    <row r="115" spans="2:16" x14ac:dyDescent="0.25">
      <c r="B115" s="12" t="s">
        <v>198</v>
      </c>
      <c r="C115" s="13" t="s">
        <v>199</v>
      </c>
      <c r="D115" s="14" t="s">
        <v>15</v>
      </c>
      <c r="E115" s="14" t="s">
        <v>200</v>
      </c>
      <c r="F115" s="15">
        <v>42818</v>
      </c>
      <c r="G115" s="16">
        <v>3.75</v>
      </c>
      <c r="H115" s="15">
        <v>43004</v>
      </c>
      <c r="I115" s="16">
        <v>3.75</v>
      </c>
      <c r="J115" s="15"/>
      <c r="K115" s="16"/>
      <c r="L115" s="15"/>
      <c r="M115" s="63"/>
      <c r="N115" s="17"/>
      <c r="O115" s="16"/>
      <c r="P115" s="18">
        <f t="shared" si="1"/>
        <v>7.5</v>
      </c>
    </row>
    <row r="116" spans="2:16" x14ac:dyDescent="0.25">
      <c r="B116" s="19" t="s">
        <v>575</v>
      </c>
      <c r="C116" s="20" t="s">
        <v>602</v>
      </c>
      <c r="D116" s="21" t="s">
        <v>55</v>
      </c>
      <c r="E116" s="22" t="s">
        <v>56</v>
      </c>
      <c r="F116" s="23">
        <v>42779</v>
      </c>
      <c r="G116" s="24">
        <v>0.52</v>
      </c>
      <c r="H116" s="23">
        <v>42866</v>
      </c>
      <c r="I116" s="24">
        <v>0.52</v>
      </c>
      <c r="J116" s="23">
        <v>42958</v>
      </c>
      <c r="K116" s="24">
        <v>0.52</v>
      </c>
      <c r="L116" s="23">
        <v>43053</v>
      </c>
      <c r="M116" s="77">
        <v>0.52</v>
      </c>
      <c r="N116" s="25"/>
      <c r="O116" s="24"/>
      <c r="P116" s="26">
        <f t="shared" si="1"/>
        <v>2.08</v>
      </c>
    </row>
    <row r="117" spans="2:16" x14ac:dyDescent="0.25">
      <c r="B117" s="12" t="s">
        <v>201</v>
      </c>
      <c r="C117" s="13" t="s">
        <v>202</v>
      </c>
      <c r="D117" s="14" t="s">
        <v>27</v>
      </c>
      <c r="E117" s="14" t="s">
        <v>16</v>
      </c>
      <c r="F117" s="15">
        <v>42885</v>
      </c>
      <c r="G117" s="16">
        <v>1.58</v>
      </c>
      <c r="H117" s="15"/>
      <c r="I117" s="16"/>
      <c r="J117" s="15"/>
      <c r="K117" s="16"/>
      <c r="L117" s="15"/>
      <c r="M117" s="63"/>
      <c r="N117" s="17"/>
      <c r="O117" s="16"/>
      <c r="P117" s="18">
        <f t="shared" si="1"/>
        <v>1.58</v>
      </c>
    </row>
    <row r="118" spans="2:16" x14ac:dyDescent="0.25">
      <c r="B118" s="12" t="s">
        <v>203</v>
      </c>
      <c r="C118" s="13" t="s">
        <v>204</v>
      </c>
      <c r="D118" s="14" t="s">
        <v>15</v>
      </c>
      <c r="E118" s="14" t="s">
        <v>16</v>
      </c>
      <c r="F118" s="15">
        <v>42832</v>
      </c>
      <c r="G118" s="16">
        <v>1.5</v>
      </c>
      <c r="H118" s="15"/>
      <c r="I118" s="16"/>
      <c r="J118" s="15"/>
      <c r="K118" s="16"/>
      <c r="L118" s="15"/>
      <c r="M118" s="63"/>
      <c r="N118" s="17"/>
      <c r="O118" s="16"/>
      <c r="P118" s="18">
        <f t="shared" si="1"/>
        <v>1.5</v>
      </c>
    </row>
    <row r="119" spans="2:16" x14ac:dyDescent="0.25">
      <c r="B119" s="12" t="s">
        <v>205</v>
      </c>
      <c r="C119" s="13" t="s">
        <v>206</v>
      </c>
      <c r="D119" s="14" t="s">
        <v>15</v>
      </c>
      <c r="E119" s="14" t="s">
        <v>16</v>
      </c>
      <c r="F119" s="15">
        <v>42724</v>
      </c>
      <c r="G119" s="16">
        <v>0.55600000000000005</v>
      </c>
      <c r="H119" s="15">
        <v>42919</v>
      </c>
      <c r="I119" s="16">
        <v>0.83399999999999996</v>
      </c>
      <c r="J119" s="15"/>
      <c r="K119" s="16"/>
      <c r="L119" s="15"/>
      <c r="M119" s="63"/>
      <c r="N119" s="17"/>
      <c r="O119" s="16"/>
      <c r="P119" s="18">
        <f t="shared" si="1"/>
        <v>1.3900000000000001</v>
      </c>
    </row>
    <row r="120" spans="2:16" x14ac:dyDescent="0.25">
      <c r="B120" s="12" t="s">
        <v>207</v>
      </c>
      <c r="C120" s="13" t="s">
        <v>208</v>
      </c>
      <c r="D120" s="14" t="s">
        <v>15</v>
      </c>
      <c r="E120" s="14" t="s">
        <v>16</v>
      </c>
      <c r="F120" s="15">
        <v>42733</v>
      </c>
      <c r="G120" s="16">
        <v>0.7</v>
      </c>
      <c r="H120" s="15">
        <v>42915</v>
      </c>
      <c r="I120" s="16">
        <v>0.63300000000000001</v>
      </c>
      <c r="J120" s="15"/>
      <c r="K120" s="16"/>
      <c r="L120" s="15"/>
      <c r="M120" s="63"/>
      <c r="N120" s="17"/>
      <c r="O120" s="16"/>
      <c r="P120" s="18">
        <f t="shared" si="1"/>
        <v>1.333</v>
      </c>
    </row>
    <row r="121" spans="2:16" x14ac:dyDescent="0.25">
      <c r="B121" s="12" t="s">
        <v>209</v>
      </c>
      <c r="C121" s="13" t="s">
        <v>210</v>
      </c>
      <c r="D121" s="14" t="s">
        <v>15</v>
      </c>
      <c r="E121" s="14" t="s">
        <v>16</v>
      </c>
      <c r="F121" s="15">
        <v>42758</v>
      </c>
      <c r="G121" s="16">
        <v>0.09</v>
      </c>
      <c r="H121" s="15">
        <v>42940</v>
      </c>
      <c r="I121" s="16">
        <v>0.09</v>
      </c>
      <c r="J121" s="15"/>
      <c r="K121" s="16"/>
      <c r="L121" s="15"/>
      <c r="M121" s="63"/>
      <c r="N121" s="17"/>
      <c r="O121" s="16"/>
      <c r="P121" s="18">
        <f t="shared" si="1"/>
        <v>0.18</v>
      </c>
    </row>
    <row r="122" spans="2:16" x14ac:dyDescent="0.25">
      <c r="B122" s="12" t="s">
        <v>211</v>
      </c>
      <c r="C122" s="13" t="s">
        <v>212</v>
      </c>
      <c r="D122" s="14" t="s">
        <v>24</v>
      </c>
      <c r="E122" s="14" t="s">
        <v>16</v>
      </c>
      <c r="F122" s="15">
        <v>42871</v>
      </c>
      <c r="G122" s="16">
        <v>0.5</v>
      </c>
      <c r="H122" s="15">
        <v>43019</v>
      </c>
      <c r="I122" s="16">
        <v>0.35</v>
      </c>
      <c r="J122" s="15"/>
      <c r="K122" s="16"/>
      <c r="L122" s="15"/>
      <c r="M122" s="63"/>
      <c r="N122" s="17"/>
      <c r="O122" s="16"/>
      <c r="P122" s="18">
        <f t="shared" si="1"/>
        <v>0.85</v>
      </c>
    </row>
    <row r="123" spans="2:16" x14ac:dyDescent="0.25">
      <c r="B123" s="12" t="s">
        <v>213</v>
      </c>
      <c r="C123" s="13" t="s">
        <v>214</v>
      </c>
      <c r="D123" s="14" t="s">
        <v>15</v>
      </c>
      <c r="E123" s="14" t="s">
        <v>16</v>
      </c>
      <c r="F123" s="15">
        <v>42849</v>
      </c>
      <c r="G123" s="16">
        <v>0.4</v>
      </c>
      <c r="H123" s="15">
        <v>42996</v>
      </c>
      <c r="I123" s="16">
        <v>0.4</v>
      </c>
      <c r="J123" s="15"/>
      <c r="K123" s="16"/>
      <c r="L123" s="15"/>
      <c r="M123" s="63"/>
      <c r="N123" s="17"/>
      <c r="O123" s="16"/>
      <c r="P123" s="18">
        <f t="shared" si="1"/>
        <v>0.8</v>
      </c>
    </row>
    <row r="124" spans="2:16" x14ac:dyDescent="0.25">
      <c r="B124" s="12" t="s">
        <v>215</v>
      </c>
      <c r="C124" s="13" t="s">
        <v>216</v>
      </c>
      <c r="D124" s="14" t="s">
        <v>15</v>
      </c>
      <c r="E124" s="14" t="s">
        <v>200</v>
      </c>
      <c r="F124" s="15">
        <v>42824</v>
      </c>
      <c r="G124" s="16">
        <v>1</v>
      </c>
      <c r="H124" s="15"/>
      <c r="I124" s="16"/>
      <c r="J124" s="15"/>
      <c r="K124" s="16"/>
      <c r="L124" s="15"/>
      <c r="M124" s="63"/>
      <c r="N124" s="17"/>
      <c r="O124" s="16"/>
      <c r="P124" s="18">
        <f t="shared" si="1"/>
        <v>1</v>
      </c>
    </row>
    <row r="125" spans="2:16" x14ac:dyDescent="0.25">
      <c r="B125" s="12" t="s">
        <v>217</v>
      </c>
      <c r="C125" s="13" t="s">
        <v>218</v>
      </c>
      <c r="D125" s="14" t="s">
        <v>24</v>
      </c>
      <c r="E125" s="14" t="s">
        <v>16</v>
      </c>
      <c r="F125" s="15">
        <v>42872</v>
      </c>
      <c r="G125" s="16">
        <v>1.5</v>
      </c>
      <c r="H125" s="15"/>
      <c r="I125" s="16"/>
      <c r="J125" s="15"/>
      <c r="K125" s="16"/>
      <c r="L125" s="15"/>
      <c r="M125" s="63"/>
      <c r="N125" s="17"/>
      <c r="O125" s="16"/>
      <c r="P125" s="18">
        <f t="shared" si="1"/>
        <v>1.5</v>
      </c>
    </row>
    <row r="126" spans="2:16" x14ac:dyDescent="0.25">
      <c r="B126" s="12" t="s">
        <v>219</v>
      </c>
      <c r="C126" s="13" t="s">
        <v>220</v>
      </c>
      <c r="D126" s="14" t="s">
        <v>24</v>
      </c>
      <c r="E126" s="14" t="s">
        <v>16</v>
      </c>
      <c r="F126" s="15">
        <v>43060</v>
      </c>
      <c r="G126" s="16">
        <v>1.21</v>
      </c>
      <c r="H126" s="15"/>
      <c r="I126" s="16"/>
      <c r="J126" s="15"/>
      <c r="K126" s="16"/>
      <c r="L126" s="15"/>
      <c r="M126" s="63"/>
      <c r="N126" s="17"/>
      <c r="O126" s="16"/>
      <c r="P126" s="18">
        <f t="shared" si="1"/>
        <v>1.21</v>
      </c>
    </row>
    <row r="127" spans="2:16" x14ac:dyDescent="0.25">
      <c r="B127" s="12" t="s">
        <v>221</v>
      </c>
      <c r="C127" s="13" t="s">
        <v>222</v>
      </c>
      <c r="D127" s="14" t="s">
        <v>15</v>
      </c>
      <c r="E127" s="14" t="s">
        <v>56</v>
      </c>
      <c r="F127" s="15">
        <v>42733</v>
      </c>
      <c r="G127" s="16">
        <v>0.13</v>
      </c>
      <c r="H127" s="15">
        <v>42908</v>
      </c>
      <c r="I127" s="16">
        <v>0.28499999999999998</v>
      </c>
      <c r="J127" s="15"/>
      <c r="K127" s="16"/>
      <c r="L127" s="15"/>
      <c r="M127" s="63"/>
      <c r="N127" s="17"/>
      <c r="O127" s="16"/>
      <c r="P127" s="18">
        <f t="shared" si="1"/>
        <v>0.41499999999999998</v>
      </c>
    </row>
    <row r="128" spans="2:16" x14ac:dyDescent="0.25">
      <c r="B128" s="19" t="s">
        <v>223</v>
      </c>
      <c r="C128" s="20" t="s">
        <v>224</v>
      </c>
      <c r="D128" s="21" t="s">
        <v>55</v>
      </c>
      <c r="E128" s="22" t="s">
        <v>56</v>
      </c>
      <c r="F128" s="23">
        <v>42774</v>
      </c>
      <c r="G128" s="24">
        <v>0.75</v>
      </c>
      <c r="H128" s="23">
        <v>42865</v>
      </c>
      <c r="I128" s="24">
        <v>0.77</v>
      </c>
      <c r="J128" s="23">
        <v>42957</v>
      </c>
      <c r="K128" s="24">
        <v>0.77</v>
      </c>
      <c r="L128" s="23">
        <v>43049</v>
      </c>
      <c r="M128" s="24">
        <v>0.77</v>
      </c>
      <c r="N128" s="25"/>
      <c r="O128" s="24"/>
      <c r="P128" s="26">
        <f t="shared" si="1"/>
        <v>3.06</v>
      </c>
    </row>
    <row r="129" spans="1:17" x14ac:dyDescent="0.25">
      <c r="B129" s="12" t="s">
        <v>225</v>
      </c>
      <c r="C129" s="13" t="s">
        <v>226</v>
      </c>
      <c r="D129" s="14" t="s">
        <v>15</v>
      </c>
      <c r="E129" s="14" t="s">
        <v>16</v>
      </c>
      <c r="F129" s="15">
        <v>42864</v>
      </c>
      <c r="G129" s="16">
        <v>0.315</v>
      </c>
      <c r="H129" s="15">
        <v>43038</v>
      </c>
      <c r="I129" s="16">
        <v>0.40410000000000001</v>
      </c>
      <c r="J129" s="15"/>
      <c r="K129" s="16"/>
      <c r="L129" s="15"/>
      <c r="M129" s="63"/>
      <c r="N129" s="17"/>
      <c r="O129" s="16"/>
      <c r="P129" s="18">
        <f t="shared" si="1"/>
        <v>0.71910000000000007</v>
      </c>
    </row>
    <row r="130" spans="1:17" x14ac:dyDescent="0.25">
      <c r="B130" s="19" t="s">
        <v>227</v>
      </c>
      <c r="C130" s="20" t="s">
        <v>228</v>
      </c>
      <c r="D130" s="21" t="s">
        <v>55</v>
      </c>
      <c r="E130" s="22" t="s">
        <v>56</v>
      </c>
      <c r="F130" s="23">
        <v>42843</v>
      </c>
      <c r="G130" s="24">
        <v>0.15</v>
      </c>
      <c r="H130" s="23">
        <v>42936</v>
      </c>
      <c r="I130" s="24">
        <v>0.15</v>
      </c>
      <c r="J130" s="23">
        <v>43028</v>
      </c>
      <c r="K130" s="24">
        <v>0.15</v>
      </c>
      <c r="L130" s="23"/>
      <c r="M130" s="77"/>
      <c r="N130" s="25"/>
      <c r="O130" s="24"/>
      <c r="P130" s="26">
        <f t="shared" si="1"/>
        <v>0.44999999999999996</v>
      </c>
    </row>
    <row r="131" spans="1:17" x14ac:dyDescent="0.25">
      <c r="B131" s="12" t="s">
        <v>229</v>
      </c>
      <c r="C131" s="13" t="s">
        <v>230</v>
      </c>
      <c r="D131" s="14" t="s">
        <v>15</v>
      </c>
      <c r="E131" s="14" t="s">
        <v>16</v>
      </c>
      <c r="F131" s="15">
        <v>42830</v>
      </c>
      <c r="G131" s="16">
        <v>1.1000000000000001</v>
      </c>
      <c r="H131" s="15"/>
      <c r="I131" s="16"/>
      <c r="J131" s="15"/>
      <c r="K131" s="16"/>
      <c r="L131" s="15"/>
      <c r="M131" s="63"/>
      <c r="N131" s="17"/>
      <c r="O131" s="16"/>
      <c r="P131" s="18">
        <f t="shared" si="1"/>
        <v>1.1000000000000001</v>
      </c>
    </row>
    <row r="132" spans="1:17" x14ac:dyDescent="0.25">
      <c r="A132" s="33"/>
      <c r="B132" s="37" t="s">
        <v>231</v>
      </c>
      <c r="C132" s="13" t="s">
        <v>232</v>
      </c>
      <c r="D132" s="14" t="s">
        <v>15</v>
      </c>
      <c r="E132" s="14" t="s">
        <v>16</v>
      </c>
      <c r="F132" s="15">
        <v>42870</v>
      </c>
      <c r="G132" s="16">
        <v>0.62</v>
      </c>
      <c r="H132" s="15"/>
      <c r="I132" s="16"/>
      <c r="J132" s="15"/>
      <c r="K132" s="16"/>
      <c r="L132" s="15"/>
      <c r="M132" s="63"/>
      <c r="N132" s="17"/>
      <c r="O132" s="16"/>
      <c r="P132" s="18">
        <f t="shared" si="1"/>
        <v>0.62</v>
      </c>
      <c r="Q132" s="36"/>
    </row>
    <row r="133" spans="1:17" x14ac:dyDescent="0.25">
      <c r="A133" s="33"/>
      <c r="B133" s="37" t="s">
        <v>233</v>
      </c>
      <c r="C133" s="13" t="s">
        <v>234</v>
      </c>
      <c r="D133" s="14" t="s">
        <v>15</v>
      </c>
      <c r="E133" s="14" t="s">
        <v>16</v>
      </c>
      <c r="F133" s="15"/>
      <c r="G133" s="16"/>
      <c r="H133" s="15"/>
      <c r="I133" s="16"/>
      <c r="J133" s="15"/>
      <c r="K133" s="16"/>
      <c r="L133" s="15"/>
      <c r="M133" s="63"/>
      <c r="N133" s="17"/>
      <c r="O133" s="16"/>
      <c r="P133" s="18">
        <f t="shared" si="1"/>
        <v>0</v>
      </c>
      <c r="Q133" s="36"/>
    </row>
    <row r="134" spans="1:17" x14ac:dyDescent="0.25">
      <c r="A134" s="33"/>
      <c r="B134" s="37" t="s">
        <v>235</v>
      </c>
      <c r="C134" s="13" t="s">
        <v>236</v>
      </c>
      <c r="D134" s="14" t="s">
        <v>237</v>
      </c>
      <c r="E134" s="14" t="s">
        <v>16</v>
      </c>
      <c r="F134" s="15">
        <v>42881</v>
      </c>
      <c r="G134" s="16">
        <v>0.24879999999999999</v>
      </c>
      <c r="H134" s="15">
        <v>42997</v>
      </c>
      <c r="I134" s="16">
        <v>0.25</v>
      </c>
      <c r="J134" s="15"/>
      <c r="K134" s="16"/>
      <c r="L134" s="15"/>
      <c r="M134" s="63"/>
      <c r="N134" s="17"/>
      <c r="O134" s="16"/>
      <c r="P134" s="18">
        <f t="shared" si="1"/>
        <v>0.49880000000000002</v>
      </c>
      <c r="Q134" s="36"/>
    </row>
    <row r="135" spans="1:17" x14ac:dyDescent="0.25">
      <c r="A135" s="33"/>
      <c r="B135" s="37" t="s">
        <v>238</v>
      </c>
      <c r="C135" s="13" t="s">
        <v>239</v>
      </c>
      <c r="D135" s="14" t="s">
        <v>15</v>
      </c>
      <c r="E135" s="14" t="s">
        <v>16</v>
      </c>
      <c r="F135" s="15">
        <v>42909</v>
      </c>
      <c r="G135" s="16">
        <v>0.67</v>
      </c>
      <c r="H135" s="15">
        <v>43003</v>
      </c>
      <c r="I135" s="16">
        <v>0.33</v>
      </c>
      <c r="J135" s="15"/>
      <c r="K135" s="16"/>
      <c r="L135" s="15"/>
      <c r="M135" s="63"/>
      <c r="N135" s="17"/>
      <c r="O135" s="16"/>
      <c r="P135" s="18">
        <f t="shared" si="1"/>
        <v>1</v>
      </c>
      <c r="Q135" s="36"/>
    </row>
    <row r="136" spans="1:17" x14ac:dyDescent="0.25">
      <c r="A136" s="33"/>
      <c r="B136" s="37" t="s">
        <v>242</v>
      </c>
      <c r="C136" s="13" t="s">
        <v>243</v>
      </c>
      <c r="D136" s="14" t="s">
        <v>15</v>
      </c>
      <c r="E136" s="14" t="s">
        <v>21</v>
      </c>
      <c r="F136" s="15">
        <v>42832</v>
      </c>
      <c r="G136" s="16">
        <v>10</v>
      </c>
      <c r="H136" s="15"/>
      <c r="I136" s="16"/>
      <c r="J136" s="15"/>
      <c r="K136" s="16"/>
      <c r="L136" s="15"/>
      <c r="M136" s="63"/>
      <c r="N136" s="17"/>
      <c r="O136" s="16"/>
      <c r="P136" s="18">
        <f t="shared" si="1"/>
        <v>10</v>
      </c>
      <c r="Q136" s="36"/>
    </row>
    <row r="137" spans="1:17" x14ac:dyDescent="0.25">
      <c r="B137" s="12" t="s">
        <v>244</v>
      </c>
      <c r="C137" s="13" t="s">
        <v>245</v>
      </c>
      <c r="D137" s="14" t="s">
        <v>15</v>
      </c>
      <c r="E137" s="14" t="s">
        <v>16</v>
      </c>
      <c r="F137" s="15">
        <v>42877</v>
      </c>
      <c r="G137" s="16">
        <v>0.5</v>
      </c>
      <c r="H137" s="15"/>
      <c r="I137" s="16"/>
      <c r="J137" s="15"/>
      <c r="K137" s="16"/>
      <c r="L137" s="15"/>
      <c r="M137" s="63"/>
      <c r="N137" s="17"/>
      <c r="O137" s="16"/>
      <c r="P137" s="18">
        <f t="shared" si="1"/>
        <v>0.5</v>
      </c>
    </row>
    <row r="138" spans="1:17" x14ac:dyDescent="0.25">
      <c r="A138" s="33"/>
      <c r="B138" s="38" t="s">
        <v>240</v>
      </c>
      <c r="C138" s="20" t="s">
        <v>241</v>
      </c>
      <c r="D138" s="21" t="s">
        <v>55</v>
      </c>
      <c r="E138" s="22" t="s">
        <v>56</v>
      </c>
      <c r="F138" s="23">
        <v>42789</v>
      </c>
      <c r="G138" s="24">
        <v>0.24</v>
      </c>
      <c r="H138" s="23">
        <v>42901</v>
      </c>
      <c r="I138" s="24">
        <v>0.24</v>
      </c>
      <c r="J138" s="23">
        <v>42993</v>
      </c>
      <c r="K138" s="24">
        <v>0.24</v>
      </c>
      <c r="L138" s="23">
        <v>43095</v>
      </c>
      <c r="M138" s="77">
        <v>0.12</v>
      </c>
      <c r="N138" s="25"/>
      <c r="O138" s="24"/>
      <c r="P138" s="26">
        <f t="shared" si="1"/>
        <v>0.84</v>
      </c>
      <c r="Q138" s="36"/>
    </row>
    <row r="139" spans="1:17" x14ac:dyDescent="0.25">
      <c r="B139" s="19" t="s">
        <v>246</v>
      </c>
      <c r="C139" s="20" t="s">
        <v>247</v>
      </c>
      <c r="D139" s="21" t="s">
        <v>55</v>
      </c>
      <c r="E139" s="22" t="s">
        <v>56</v>
      </c>
      <c r="F139" s="23">
        <v>42802</v>
      </c>
      <c r="G139" s="24">
        <v>0.38</v>
      </c>
      <c r="H139" s="23">
        <v>42893</v>
      </c>
      <c r="I139" s="24">
        <v>0.38</v>
      </c>
      <c r="J139" s="23">
        <v>42985</v>
      </c>
      <c r="K139" s="24">
        <v>0.38</v>
      </c>
      <c r="L139" s="23">
        <v>43076</v>
      </c>
      <c r="M139" s="77">
        <v>0.38</v>
      </c>
      <c r="N139" s="25"/>
      <c r="O139" s="24"/>
      <c r="P139" s="26">
        <f t="shared" si="1"/>
        <v>1.52</v>
      </c>
    </row>
    <row r="140" spans="1:17" x14ac:dyDescent="0.25">
      <c r="B140" s="19" t="s">
        <v>567</v>
      </c>
      <c r="C140" s="20" t="s">
        <v>594</v>
      </c>
      <c r="D140" s="21" t="s">
        <v>55</v>
      </c>
      <c r="E140" s="22" t="s">
        <v>56</v>
      </c>
      <c r="F140" s="23">
        <v>42808</v>
      </c>
      <c r="G140" s="24">
        <v>0.52</v>
      </c>
      <c r="H140" s="23">
        <v>42900</v>
      </c>
      <c r="I140" s="24">
        <v>0.52</v>
      </c>
      <c r="J140" s="23">
        <v>42992</v>
      </c>
      <c r="K140" s="24">
        <v>0.52</v>
      </c>
      <c r="L140" s="23">
        <v>43083</v>
      </c>
      <c r="M140" s="77">
        <v>0.52</v>
      </c>
      <c r="N140" s="25"/>
      <c r="O140" s="24"/>
      <c r="P140" s="26">
        <f t="shared" si="1"/>
        <v>2.08</v>
      </c>
    </row>
    <row r="141" spans="1:17" x14ac:dyDescent="0.25">
      <c r="B141" s="12" t="s">
        <v>248</v>
      </c>
      <c r="C141" s="13" t="s">
        <v>249</v>
      </c>
      <c r="D141" s="14" t="s">
        <v>15</v>
      </c>
      <c r="E141" s="14" t="s">
        <v>21</v>
      </c>
      <c r="F141" s="15">
        <v>42821</v>
      </c>
      <c r="G141" s="16">
        <v>56</v>
      </c>
      <c r="H141" s="15"/>
      <c r="I141" s="16"/>
      <c r="J141" s="15"/>
      <c r="K141" s="16"/>
      <c r="L141" s="15"/>
      <c r="M141" s="63"/>
      <c r="N141" s="17"/>
      <c r="O141" s="16"/>
      <c r="P141" s="18">
        <f t="shared" si="1"/>
        <v>56</v>
      </c>
    </row>
    <row r="142" spans="1:17" x14ac:dyDescent="0.25">
      <c r="B142" s="12" t="s">
        <v>250</v>
      </c>
      <c r="C142" s="13" t="s">
        <v>251</v>
      </c>
      <c r="D142" s="14" t="s">
        <v>15</v>
      </c>
      <c r="E142" s="14" t="s">
        <v>77</v>
      </c>
      <c r="F142" s="15">
        <v>42789</v>
      </c>
      <c r="G142" s="28">
        <v>23</v>
      </c>
      <c r="H142" s="15">
        <v>42866</v>
      </c>
      <c r="I142" s="16">
        <v>19</v>
      </c>
      <c r="J142" s="15">
        <v>42957</v>
      </c>
      <c r="K142" s="16">
        <v>19</v>
      </c>
      <c r="L142" s="15">
        <v>43048</v>
      </c>
      <c r="M142" s="16">
        <v>19</v>
      </c>
      <c r="N142" s="17"/>
      <c r="O142" s="16"/>
      <c r="P142" s="18">
        <f t="shared" si="1"/>
        <v>80</v>
      </c>
    </row>
    <row r="143" spans="1:17" x14ac:dyDescent="0.25">
      <c r="B143" s="12" t="s">
        <v>252</v>
      </c>
      <c r="C143" s="13" t="s">
        <v>253</v>
      </c>
      <c r="D143" s="14" t="s">
        <v>15</v>
      </c>
      <c r="E143" s="14" t="s">
        <v>56</v>
      </c>
      <c r="F143" s="15">
        <v>42866</v>
      </c>
      <c r="G143" s="16">
        <v>3.5000000000000003E-2</v>
      </c>
      <c r="H143" s="15">
        <v>42985</v>
      </c>
      <c r="I143" s="16">
        <v>3.5000000000000003E-2</v>
      </c>
      <c r="J143" s="15"/>
      <c r="K143" s="16"/>
      <c r="L143" s="15"/>
      <c r="M143" s="63"/>
      <c r="N143" s="17"/>
      <c r="O143" s="16"/>
      <c r="P143" s="18">
        <f t="shared" si="1"/>
        <v>7.0000000000000007E-2</v>
      </c>
    </row>
    <row r="144" spans="1:17" x14ac:dyDescent="0.25">
      <c r="B144" s="19" t="s">
        <v>570</v>
      </c>
      <c r="C144" s="20" t="s">
        <v>597</v>
      </c>
      <c r="D144" s="21" t="s">
        <v>55</v>
      </c>
      <c r="E144" s="22" t="s">
        <v>56</v>
      </c>
      <c r="F144" s="23">
        <v>42794</v>
      </c>
      <c r="G144" s="24">
        <v>0.65</v>
      </c>
      <c r="H144" s="23">
        <v>42885</v>
      </c>
      <c r="I144" s="24">
        <v>0.75</v>
      </c>
      <c r="J144" s="23">
        <v>42976</v>
      </c>
      <c r="K144" s="24">
        <v>0.75</v>
      </c>
      <c r="L144" s="23">
        <v>43068</v>
      </c>
      <c r="M144" s="77">
        <v>0.75</v>
      </c>
      <c r="N144" s="25"/>
      <c r="O144" s="24"/>
      <c r="P144" s="26">
        <f t="shared" ref="P144:P208" si="2">G144+I144+K144+M144+O144</f>
        <v>2.9</v>
      </c>
    </row>
    <row r="145" spans="2:16" x14ac:dyDescent="0.25">
      <c r="B145" s="12" t="s">
        <v>254</v>
      </c>
      <c r="C145" s="13" t="s">
        <v>255</v>
      </c>
      <c r="D145" s="14" t="s">
        <v>27</v>
      </c>
      <c r="E145" s="14" t="s">
        <v>16</v>
      </c>
      <c r="F145" s="15">
        <v>42857</v>
      </c>
      <c r="G145" s="16">
        <v>2.93</v>
      </c>
      <c r="H145" s="15"/>
      <c r="I145" s="16"/>
      <c r="J145" s="15"/>
      <c r="K145" s="16"/>
      <c r="L145" s="15"/>
      <c r="M145" s="63"/>
      <c r="N145" s="17"/>
      <c r="O145" s="16"/>
      <c r="P145" s="18">
        <f t="shared" si="2"/>
        <v>2.93</v>
      </c>
    </row>
    <row r="146" spans="2:16" x14ac:dyDescent="0.25">
      <c r="B146" s="12" t="s">
        <v>256</v>
      </c>
      <c r="C146" s="13" t="s">
        <v>257</v>
      </c>
      <c r="D146" s="14" t="s">
        <v>15</v>
      </c>
      <c r="E146" s="14" t="s">
        <v>16</v>
      </c>
      <c r="F146" s="15">
        <v>42849</v>
      </c>
      <c r="G146" s="16">
        <v>0.82</v>
      </c>
      <c r="H146" s="15">
        <v>42949</v>
      </c>
      <c r="I146" s="16">
        <v>0.54</v>
      </c>
      <c r="J146" s="15"/>
      <c r="K146" s="16"/>
      <c r="L146" s="15"/>
      <c r="M146" s="63"/>
      <c r="N146" s="17"/>
      <c r="O146" s="16"/>
      <c r="P146" s="18">
        <f t="shared" si="2"/>
        <v>1.3599999999999999</v>
      </c>
    </row>
    <row r="147" spans="2:16" x14ac:dyDescent="0.25">
      <c r="B147" s="12" t="s">
        <v>258</v>
      </c>
      <c r="C147" s="13" t="s">
        <v>259</v>
      </c>
      <c r="D147" s="14" t="s">
        <v>15</v>
      </c>
      <c r="E147" s="14" t="s">
        <v>16</v>
      </c>
      <c r="F147" s="15">
        <v>42832</v>
      </c>
      <c r="G147" s="16">
        <v>1.62</v>
      </c>
      <c r="H147" s="15"/>
      <c r="I147" s="16"/>
      <c r="J147" s="15"/>
      <c r="K147" s="16"/>
      <c r="L147" s="15"/>
      <c r="M147" s="63"/>
      <c r="N147" s="17"/>
      <c r="O147" s="16"/>
      <c r="P147" s="18">
        <f t="shared" si="2"/>
        <v>1.62</v>
      </c>
    </row>
    <row r="148" spans="2:16" x14ac:dyDescent="0.25">
      <c r="B148" s="12" t="s">
        <v>260</v>
      </c>
      <c r="C148" s="13" t="s">
        <v>261</v>
      </c>
      <c r="D148" s="14" t="s">
        <v>15</v>
      </c>
      <c r="E148" s="14" t="s">
        <v>200</v>
      </c>
      <c r="F148" s="15">
        <v>42866</v>
      </c>
      <c r="G148" s="16">
        <v>4.9000000000000004</v>
      </c>
      <c r="H148" s="15">
        <v>43052</v>
      </c>
      <c r="I148" s="16">
        <v>4.8499999999999996</v>
      </c>
      <c r="J148" s="15"/>
      <c r="K148" s="16"/>
      <c r="L148" s="15"/>
      <c r="M148" s="63"/>
      <c r="N148" s="17"/>
      <c r="O148" s="16"/>
      <c r="P148" s="18">
        <f t="shared" si="2"/>
        <v>9.75</v>
      </c>
    </row>
    <row r="149" spans="2:16" x14ac:dyDescent="0.25">
      <c r="B149" s="19" t="s">
        <v>262</v>
      </c>
      <c r="C149" s="20" t="s">
        <v>263</v>
      </c>
      <c r="D149" s="21" t="s">
        <v>55</v>
      </c>
      <c r="E149" s="22" t="s">
        <v>56</v>
      </c>
      <c r="F149" s="23">
        <v>42801</v>
      </c>
      <c r="G149" s="24">
        <v>0.89</v>
      </c>
      <c r="H149" s="23">
        <v>42885</v>
      </c>
      <c r="I149" s="24">
        <v>0.89</v>
      </c>
      <c r="J149" s="23">
        <v>42976</v>
      </c>
      <c r="K149" s="24">
        <v>0.89</v>
      </c>
      <c r="L149" s="23">
        <v>43068</v>
      </c>
      <c r="M149" s="77">
        <v>0.89</v>
      </c>
      <c r="N149" s="25"/>
      <c r="O149" s="24"/>
      <c r="P149" s="26">
        <f t="shared" si="2"/>
        <v>3.56</v>
      </c>
    </row>
    <row r="150" spans="2:16" x14ac:dyDescent="0.25">
      <c r="B150" s="19" t="s">
        <v>565</v>
      </c>
      <c r="C150" s="20" t="s">
        <v>592</v>
      </c>
      <c r="D150" s="21" t="s">
        <v>55</v>
      </c>
      <c r="E150" s="22" t="s">
        <v>56</v>
      </c>
      <c r="F150" s="23">
        <v>42788</v>
      </c>
      <c r="G150" s="24">
        <v>0.66500000000000004</v>
      </c>
      <c r="H150" s="23">
        <v>42872</v>
      </c>
      <c r="I150" s="24">
        <v>0.66500000000000004</v>
      </c>
      <c r="J150" s="23">
        <v>42963</v>
      </c>
      <c r="K150" s="24">
        <v>0.66500000000000004</v>
      </c>
      <c r="L150" s="23">
        <v>43055</v>
      </c>
      <c r="M150" s="77">
        <v>0.745</v>
      </c>
      <c r="N150" s="25"/>
      <c r="O150" s="24"/>
      <c r="P150" s="26">
        <f t="shared" si="2"/>
        <v>2.74</v>
      </c>
    </row>
    <row r="151" spans="2:16" x14ac:dyDescent="0.25">
      <c r="B151" s="12" t="s">
        <v>264</v>
      </c>
      <c r="C151" s="13" t="s">
        <v>265</v>
      </c>
      <c r="D151" s="14" t="s">
        <v>15</v>
      </c>
      <c r="E151" s="14" t="s">
        <v>56</v>
      </c>
      <c r="F151" s="15">
        <v>42789</v>
      </c>
      <c r="G151" s="16">
        <v>0.21</v>
      </c>
      <c r="H151" s="15">
        <v>42873</v>
      </c>
      <c r="I151" s="16">
        <v>0.1</v>
      </c>
      <c r="J151" s="15">
        <v>42950</v>
      </c>
      <c r="K151" s="16">
        <v>0.1</v>
      </c>
      <c r="L151" s="15">
        <v>43020</v>
      </c>
      <c r="M151" s="16">
        <v>0.1</v>
      </c>
      <c r="N151" s="17"/>
      <c r="O151" s="16"/>
      <c r="P151" s="18">
        <f t="shared" si="2"/>
        <v>0.51</v>
      </c>
    </row>
    <row r="152" spans="2:16" x14ac:dyDescent="0.25">
      <c r="B152" s="12" t="s">
        <v>266</v>
      </c>
      <c r="C152" s="13" t="s">
        <v>267</v>
      </c>
      <c r="D152" s="14" t="s">
        <v>15</v>
      </c>
      <c r="E152" s="14" t="s">
        <v>16</v>
      </c>
      <c r="F152" s="15">
        <v>42740</v>
      </c>
      <c r="G152" s="16">
        <v>0.13500000000000001</v>
      </c>
      <c r="H152" s="15">
        <v>42921</v>
      </c>
      <c r="I152" s="16">
        <v>0.17699999999999999</v>
      </c>
      <c r="J152" s="15"/>
      <c r="K152" s="16"/>
      <c r="L152" s="15"/>
      <c r="M152" s="63"/>
      <c r="N152" s="17"/>
      <c r="O152" s="16"/>
      <c r="P152" s="18">
        <f t="shared" si="2"/>
        <v>0.312</v>
      </c>
    </row>
    <row r="153" spans="2:16" x14ac:dyDescent="0.25">
      <c r="B153" s="19" t="s">
        <v>553</v>
      </c>
      <c r="C153" s="20" t="s">
        <v>580</v>
      </c>
      <c r="D153" s="21" t="s">
        <v>55</v>
      </c>
      <c r="E153" s="22" t="s">
        <v>56</v>
      </c>
      <c r="F153" s="23">
        <v>42774</v>
      </c>
      <c r="G153" s="24">
        <v>1.4</v>
      </c>
      <c r="H153" s="23">
        <v>42863</v>
      </c>
      <c r="I153" s="24">
        <v>1.5</v>
      </c>
      <c r="J153" s="23">
        <v>42955</v>
      </c>
      <c r="K153" s="24">
        <v>1.5</v>
      </c>
      <c r="L153" s="23">
        <v>43048</v>
      </c>
      <c r="M153" s="24">
        <v>1.5</v>
      </c>
      <c r="N153" s="25"/>
      <c r="O153" s="24"/>
      <c r="P153" s="26">
        <f t="shared" si="2"/>
        <v>5.9</v>
      </c>
    </row>
    <row r="154" spans="2:16" x14ac:dyDescent="0.25">
      <c r="B154" s="12" t="s">
        <v>268</v>
      </c>
      <c r="C154" s="13" t="s">
        <v>269</v>
      </c>
      <c r="D154" s="14" t="s">
        <v>15</v>
      </c>
      <c r="E154" s="14" t="s">
        <v>77</v>
      </c>
      <c r="F154" s="15">
        <v>42782</v>
      </c>
      <c r="G154" s="16">
        <v>54.1</v>
      </c>
      <c r="H154" s="15">
        <v>42873</v>
      </c>
      <c r="I154" s="16">
        <v>25.85</v>
      </c>
      <c r="J154" s="15">
        <v>42964</v>
      </c>
      <c r="K154" s="16">
        <v>25.85</v>
      </c>
      <c r="L154" s="15">
        <v>43055</v>
      </c>
      <c r="M154" s="63">
        <v>59.51</v>
      </c>
      <c r="N154" s="17"/>
      <c r="O154" s="16"/>
      <c r="P154" s="18">
        <f t="shared" si="2"/>
        <v>165.31</v>
      </c>
    </row>
    <row r="155" spans="2:16" x14ac:dyDescent="0.25">
      <c r="B155" s="12" t="s">
        <v>270</v>
      </c>
      <c r="C155" s="13" t="s">
        <v>271</v>
      </c>
      <c r="D155" s="14" t="s">
        <v>15</v>
      </c>
      <c r="E155" s="14" t="s">
        <v>16</v>
      </c>
      <c r="F155" s="29">
        <v>42852</v>
      </c>
      <c r="G155" s="71">
        <v>0.33810000000000001</v>
      </c>
      <c r="H155" s="29">
        <v>43039</v>
      </c>
      <c r="I155" s="71">
        <v>0.15909999999999999</v>
      </c>
      <c r="J155" s="15"/>
      <c r="K155" s="16"/>
      <c r="L155" s="15"/>
      <c r="M155" s="63"/>
      <c r="N155" s="17"/>
      <c r="O155" s="16"/>
      <c r="P155" s="18">
        <f t="shared" si="2"/>
        <v>0.49719999999999998</v>
      </c>
    </row>
    <row r="156" spans="2:16" x14ac:dyDescent="0.25">
      <c r="B156" s="12" t="s">
        <v>614</v>
      </c>
      <c r="C156" s="13" t="s">
        <v>272</v>
      </c>
      <c r="D156" s="14" t="s">
        <v>15</v>
      </c>
      <c r="E156" s="14" t="s">
        <v>16</v>
      </c>
      <c r="F156" s="29">
        <v>42852</v>
      </c>
      <c r="G156" s="71">
        <v>0.33810000000000001</v>
      </c>
      <c r="H156" s="29">
        <v>43039</v>
      </c>
      <c r="I156" s="71">
        <v>0.15909999999999999</v>
      </c>
      <c r="J156" s="15"/>
      <c r="K156" s="16"/>
      <c r="L156" s="15"/>
      <c r="M156" s="63"/>
      <c r="N156" s="17"/>
      <c r="O156" s="16"/>
      <c r="P156" s="18">
        <f t="shared" si="2"/>
        <v>0.49719999999999998</v>
      </c>
    </row>
    <row r="157" spans="2:16" x14ac:dyDescent="0.25">
      <c r="B157" s="12" t="s">
        <v>614</v>
      </c>
      <c r="C157" s="13" t="s">
        <v>613</v>
      </c>
      <c r="D157" s="14" t="s">
        <v>15</v>
      </c>
      <c r="E157" s="14" t="s">
        <v>16</v>
      </c>
      <c r="F157" s="29">
        <v>42852</v>
      </c>
      <c r="G157" s="71">
        <v>0.33810000000000001</v>
      </c>
      <c r="H157" s="29">
        <v>43039</v>
      </c>
      <c r="I157" s="71">
        <v>0.15909999999999999</v>
      </c>
      <c r="J157" s="15"/>
      <c r="K157" s="16"/>
      <c r="L157" s="15"/>
      <c r="M157" s="63"/>
      <c r="N157" s="17"/>
      <c r="O157" s="16"/>
      <c r="P157" s="18">
        <f t="shared" si="2"/>
        <v>0.49719999999999998</v>
      </c>
    </row>
    <row r="158" spans="2:16" x14ac:dyDescent="0.25">
      <c r="B158" s="12" t="s">
        <v>273</v>
      </c>
      <c r="C158" s="13" t="s">
        <v>274</v>
      </c>
      <c r="D158" s="14" t="s">
        <v>15</v>
      </c>
      <c r="E158" s="14" t="s">
        <v>16</v>
      </c>
      <c r="F158" s="15">
        <v>42865</v>
      </c>
      <c r="G158" s="16">
        <v>0.42</v>
      </c>
      <c r="H158" s="15">
        <v>42951</v>
      </c>
      <c r="I158" s="16">
        <v>0.24</v>
      </c>
      <c r="J158" s="15"/>
      <c r="K158" s="16"/>
      <c r="L158" s="15"/>
      <c r="M158" s="63"/>
      <c r="N158" s="17"/>
      <c r="O158" s="16"/>
      <c r="P158" s="18">
        <f t="shared" si="2"/>
        <v>0.65999999999999992</v>
      </c>
    </row>
    <row r="159" spans="2:16" x14ac:dyDescent="0.25">
      <c r="B159" s="19" t="s">
        <v>612</v>
      </c>
      <c r="C159" s="20" t="s">
        <v>275</v>
      </c>
      <c r="D159" s="21" t="s">
        <v>55</v>
      </c>
      <c r="E159" s="22" t="s">
        <v>56</v>
      </c>
      <c r="F159" s="23">
        <v>42769</v>
      </c>
      <c r="G159" s="24">
        <v>0.26</v>
      </c>
      <c r="H159" s="23">
        <v>42858</v>
      </c>
      <c r="I159" s="24">
        <v>0.27250000000000002</v>
      </c>
      <c r="J159" s="23">
        <v>42950</v>
      </c>
      <c r="K159" s="24">
        <v>0.27250000000000002</v>
      </c>
      <c r="L159" s="23">
        <v>43045</v>
      </c>
      <c r="M159" s="24">
        <v>0.27250000000000002</v>
      </c>
      <c r="N159" s="25"/>
      <c r="O159" s="24"/>
      <c r="P159" s="26">
        <f t="shared" si="2"/>
        <v>1.0774999999999999</v>
      </c>
    </row>
    <row r="160" spans="2:16" x14ac:dyDescent="0.25">
      <c r="B160" s="12" t="s">
        <v>276</v>
      </c>
      <c r="C160" s="13" t="s">
        <v>277</v>
      </c>
      <c r="D160" s="14" t="s">
        <v>15</v>
      </c>
      <c r="E160" s="14" t="s">
        <v>16</v>
      </c>
      <c r="F160" s="15">
        <v>42877</v>
      </c>
      <c r="G160" s="16">
        <v>0.17799999999999999</v>
      </c>
      <c r="H160" s="15"/>
      <c r="I160" s="16"/>
      <c r="J160" s="15"/>
      <c r="K160" s="16"/>
      <c r="L160" s="15"/>
      <c r="M160" s="63"/>
      <c r="N160" s="17"/>
      <c r="O160" s="16"/>
      <c r="P160" s="18">
        <f t="shared" si="2"/>
        <v>0.17799999999999999</v>
      </c>
    </row>
    <row r="161" spans="1:17" x14ac:dyDescent="0.25">
      <c r="B161" s="12" t="s">
        <v>278</v>
      </c>
      <c r="C161" s="13" t="s">
        <v>279</v>
      </c>
      <c r="D161" s="14" t="s">
        <v>15</v>
      </c>
      <c r="E161" s="14" t="s">
        <v>16</v>
      </c>
      <c r="F161" s="15">
        <v>42877</v>
      </c>
      <c r="G161" s="16">
        <v>0.2</v>
      </c>
      <c r="H161" s="15"/>
      <c r="I161" s="16"/>
      <c r="J161" s="15"/>
      <c r="K161" s="16"/>
      <c r="L161" s="15"/>
      <c r="M161" s="63"/>
      <c r="N161" s="17"/>
      <c r="O161" s="16"/>
      <c r="P161" s="18">
        <f t="shared" si="2"/>
        <v>0.2</v>
      </c>
    </row>
    <row r="162" spans="1:17" x14ac:dyDescent="0.25">
      <c r="B162" s="19" t="s">
        <v>280</v>
      </c>
      <c r="C162" s="20" t="s">
        <v>281</v>
      </c>
      <c r="D162" s="21" t="s">
        <v>55</v>
      </c>
      <c r="E162" s="22" t="s">
        <v>56</v>
      </c>
      <c r="F162" s="23">
        <v>42790</v>
      </c>
      <c r="G162" s="24">
        <v>0.8</v>
      </c>
      <c r="H162" s="23">
        <v>42880</v>
      </c>
      <c r="I162" s="24">
        <v>0.84</v>
      </c>
      <c r="J162" s="23">
        <v>42972</v>
      </c>
      <c r="K162" s="24">
        <v>0.84</v>
      </c>
      <c r="L162" s="23">
        <v>43066</v>
      </c>
      <c r="M162" s="77">
        <v>0.84</v>
      </c>
      <c r="N162" s="25"/>
      <c r="O162" s="24"/>
      <c r="P162" s="26">
        <f t="shared" si="2"/>
        <v>3.32</v>
      </c>
    </row>
    <row r="163" spans="1:17" x14ac:dyDescent="0.25">
      <c r="B163" s="19" t="s">
        <v>282</v>
      </c>
      <c r="C163" s="20" t="s">
        <v>283</v>
      </c>
      <c r="D163" s="21" t="s">
        <v>55</v>
      </c>
      <c r="E163" s="22" t="s">
        <v>56</v>
      </c>
      <c r="F163" s="23">
        <v>42829</v>
      </c>
      <c r="G163" s="24">
        <v>0.5</v>
      </c>
      <c r="H163" s="23">
        <v>42919</v>
      </c>
      <c r="I163" s="24">
        <v>0.5</v>
      </c>
      <c r="J163" s="23">
        <v>43013</v>
      </c>
      <c r="K163" s="24">
        <v>0.56000000000000005</v>
      </c>
      <c r="L163" s="23">
        <v>43104</v>
      </c>
      <c r="M163" s="77">
        <v>0.56000000000000005</v>
      </c>
      <c r="N163" s="25"/>
      <c r="O163" s="24"/>
      <c r="P163" s="26">
        <f t="shared" si="2"/>
        <v>2.12</v>
      </c>
    </row>
    <row r="164" spans="1:17" x14ac:dyDescent="0.25">
      <c r="B164" s="12" t="s">
        <v>284</v>
      </c>
      <c r="C164" s="13" t="s">
        <v>285</v>
      </c>
      <c r="D164" s="14" t="s">
        <v>15</v>
      </c>
      <c r="E164" s="14" t="s">
        <v>21</v>
      </c>
      <c r="F164" s="15">
        <v>42843</v>
      </c>
      <c r="G164" s="16">
        <v>1.2</v>
      </c>
      <c r="H164" s="15"/>
      <c r="I164" s="16"/>
      <c r="J164" s="15"/>
      <c r="K164" s="16"/>
      <c r="L164" s="15"/>
      <c r="M164" s="63"/>
      <c r="N164" s="17"/>
      <c r="O164" s="16"/>
      <c r="P164" s="18">
        <f t="shared" si="2"/>
        <v>1.2</v>
      </c>
    </row>
    <row r="165" spans="1:17" x14ac:dyDescent="0.25">
      <c r="B165" s="12" t="s">
        <v>286</v>
      </c>
      <c r="C165" s="13" t="s">
        <v>287</v>
      </c>
      <c r="D165" s="14" t="s">
        <v>15</v>
      </c>
      <c r="E165" s="14" t="s">
        <v>16</v>
      </c>
      <c r="F165" s="15">
        <v>42866</v>
      </c>
      <c r="G165" s="16">
        <v>0.3</v>
      </c>
      <c r="H165" s="15"/>
      <c r="I165" s="16"/>
      <c r="J165" s="15"/>
      <c r="K165" s="16"/>
      <c r="L165" s="15"/>
      <c r="M165" s="63"/>
      <c r="N165" s="17"/>
      <c r="O165" s="16"/>
      <c r="P165" s="18">
        <f t="shared" si="2"/>
        <v>0.3</v>
      </c>
    </row>
    <row r="166" spans="1:17" x14ac:dyDescent="0.25">
      <c r="B166" s="12" t="s">
        <v>288</v>
      </c>
      <c r="C166" s="13" t="s">
        <v>289</v>
      </c>
      <c r="D166" s="14" t="s">
        <v>27</v>
      </c>
      <c r="E166" s="14" t="s">
        <v>16</v>
      </c>
      <c r="F166" s="15">
        <v>42864</v>
      </c>
      <c r="G166" s="16">
        <v>1.8</v>
      </c>
      <c r="H166" s="15">
        <v>43054</v>
      </c>
      <c r="I166" s="16">
        <v>1</v>
      </c>
      <c r="J166" s="15"/>
      <c r="K166" s="16"/>
      <c r="L166" s="15"/>
      <c r="M166" s="63"/>
      <c r="N166" s="17"/>
      <c r="O166" s="16"/>
      <c r="P166" s="18">
        <f t="shared" si="2"/>
        <v>2.8</v>
      </c>
    </row>
    <row r="167" spans="1:17" x14ac:dyDescent="0.25">
      <c r="B167" s="12" t="s">
        <v>290</v>
      </c>
      <c r="C167" s="13" t="s">
        <v>291</v>
      </c>
      <c r="D167" s="14" t="s">
        <v>24</v>
      </c>
      <c r="E167" s="14" t="s">
        <v>16</v>
      </c>
      <c r="F167" s="15">
        <v>42751</v>
      </c>
      <c r="G167" s="16">
        <v>1.5</v>
      </c>
      <c r="H167" s="15">
        <v>42858</v>
      </c>
      <c r="I167" s="16">
        <v>3.1</v>
      </c>
      <c r="J167" s="15"/>
      <c r="K167" s="16"/>
      <c r="L167" s="15"/>
      <c r="M167" s="63"/>
      <c r="N167" s="17"/>
      <c r="O167" s="16"/>
      <c r="P167" s="18">
        <f t="shared" si="2"/>
        <v>4.5999999999999996</v>
      </c>
    </row>
    <row r="168" spans="1:17" x14ac:dyDescent="0.25">
      <c r="B168" s="12" t="s">
        <v>292</v>
      </c>
      <c r="C168" s="13" t="s">
        <v>293</v>
      </c>
      <c r="D168" s="14" t="s">
        <v>15</v>
      </c>
      <c r="E168" s="14" t="s">
        <v>16</v>
      </c>
      <c r="F168" s="15">
        <v>42829</v>
      </c>
      <c r="G168" s="16">
        <v>2</v>
      </c>
      <c r="H168" s="15"/>
      <c r="I168" s="16"/>
      <c r="J168" s="15"/>
      <c r="K168" s="16"/>
      <c r="L168" s="15"/>
      <c r="M168" s="63"/>
      <c r="N168" s="17"/>
      <c r="O168" s="16"/>
      <c r="P168" s="18">
        <f t="shared" si="2"/>
        <v>2</v>
      </c>
    </row>
    <row r="169" spans="1:17" x14ac:dyDescent="0.25">
      <c r="A169" s="33"/>
      <c r="B169" s="37" t="s">
        <v>294</v>
      </c>
      <c r="C169" s="13" t="s">
        <v>295</v>
      </c>
      <c r="D169" s="14" t="s">
        <v>15</v>
      </c>
      <c r="E169" s="14" t="s">
        <v>200</v>
      </c>
      <c r="F169" s="15">
        <v>42866</v>
      </c>
      <c r="G169" s="16">
        <v>8</v>
      </c>
      <c r="H169" s="15"/>
      <c r="I169" s="16"/>
      <c r="J169" s="15"/>
      <c r="K169" s="16"/>
      <c r="L169" s="15"/>
      <c r="M169" s="63"/>
      <c r="N169" s="17"/>
      <c r="O169" s="16"/>
      <c r="P169" s="18">
        <f t="shared" si="2"/>
        <v>8</v>
      </c>
      <c r="Q169" s="36"/>
    </row>
    <row r="170" spans="1:17" x14ac:dyDescent="0.25">
      <c r="B170" s="12" t="s">
        <v>296</v>
      </c>
      <c r="C170" s="13" t="s">
        <v>297</v>
      </c>
      <c r="D170" s="14" t="s">
        <v>15</v>
      </c>
      <c r="E170" s="14" t="s">
        <v>16</v>
      </c>
      <c r="F170" s="29">
        <v>42843</v>
      </c>
      <c r="G170" s="69">
        <v>6.6600000000000006E-2</v>
      </c>
      <c r="H170" s="15">
        <v>42944</v>
      </c>
      <c r="I170" s="16">
        <v>3.6999999999999998E-2</v>
      </c>
      <c r="J170" s="15"/>
      <c r="K170" s="16"/>
      <c r="L170" s="15"/>
      <c r="M170" s="63"/>
      <c r="N170" s="17"/>
      <c r="O170" s="16"/>
      <c r="P170" s="18">
        <f t="shared" si="2"/>
        <v>0.1036</v>
      </c>
    </row>
    <row r="171" spans="1:17" x14ac:dyDescent="0.25">
      <c r="A171" s="33"/>
      <c r="B171" s="37" t="s">
        <v>298</v>
      </c>
      <c r="C171" s="13" t="s">
        <v>299</v>
      </c>
      <c r="D171" s="14" t="s">
        <v>15</v>
      </c>
      <c r="E171" s="14" t="s">
        <v>21</v>
      </c>
      <c r="F171" s="15">
        <v>42863</v>
      </c>
      <c r="G171" s="16">
        <v>2</v>
      </c>
      <c r="H171" s="15"/>
      <c r="I171" s="16"/>
      <c r="J171" s="15"/>
      <c r="K171" s="16"/>
      <c r="L171" s="15"/>
      <c r="M171" s="63"/>
      <c r="N171" s="17"/>
      <c r="O171" s="16"/>
      <c r="P171" s="18">
        <f t="shared" si="2"/>
        <v>2</v>
      </c>
      <c r="Q171" s="36"/>
    </row>
    <row r="172" spans="1:17" x14ac:dyDescent="0.25">
      <c r="A172" s="33"/>
      <c r="B172" s="37" t="s">
        <v>300</v>
      </c>
      <c r="C172" s="13" t="s">
        <v>301</v>
      </c>
      <c r="D172" s="14" t="s">
        <v>24</v>
      </c>
      <c r="E172" s="14" t="s">
        <v>16</v>
      </c>
      <c r="F172" s="15">
        <v>42863</v>
      </c>
      <c r="G172" s="16">
        <v>1.3</v>
      </c>
      <c r="H172" s="15"/>
      <c r="I172" s="16"/>
      <c r="J172" s="15"/>
      <c r="K172" s="16"/>
      <c r="L172" s="15"/>
      <c r="M172" s="63"/>
      <c r="N172" s="17"/>
      <c r="O172" s="16"/>
      <c r="P172" s="18">
        <f t="shared" si="2"/>
        <v>1.3</v>
      </c>
      <c r="Q172" s="36"/>
    </row>
    <row r="173" spans="1:17" x14ac:dyDescent="0.25">
      <c r="B173" s="12" t="s">
        <v>302</v>
      </c>
      <c r="C173" s="13" t="s">
        <v>303</v>
      </c>
      <c r="D173" s="14" t="s">
        <v>15</v>
      </c>
      <c r="E173" s="14" t="s">
        <v>77</v>
      </c>
      <c r="F173" s="15">
        <v>42852</v>
      </c>
      <c r="G173" s="16">
        <v>10.35</v>
      </c>
      <c r="H173" s="15">
        <v>42964</v>
      </c>
      <c r="I173" s="16">
        <v>4.3</v>
      </c>
      <c r="J173" s="15"/>
      <c r="K173" s="16"/>
      <c r="L173" s="15"/>
      <c r="M173" s="63"/>
      <c r="N173" s="17"/>
      <c r="O173" s="16"/>
      <c r="P173" s="18">
        <f t="shared" si="2"/>
        <v>14.649999999999999</v>
      </c>
    </row>
    <row r="174" spans="1:17" x14ac:dyDescent="0.25">
      <c r="B174" s="12" t="s">
        <v>304</v>
      </c>
      <c r="C174" s="13" t="s">
        <v>305</v>
      </c>
      <c r="D174" s="14" t="s">
        <v>24</v>
      </c>
      <c r="E174" s="14" t="s">
        <v>16</v>
      </c>
      <c r="F174" s="15">
        <v>42888</v>
      </c>
      <c r="G174" s="16">
        <v>1.19</v>
      </c>
      <c r="H174" s="15"/>
      <c r="I174" s="16"/>
      <c r="J174" s="15"/>
      <c r="K174" s="16"/>
      <c r="L174" s="15"/>
      <c r="M174" s="63"/>
      <c r="N174" s="17"/>
      <c r="O174" s="16"/>
      <c r="P174" s="18">
        <f t="shared" si="2"/>
        <v>1.19</v>
      </c>
    </row>
    <row r="175" spans="1:17" x14ac:dyDescent="0.25">
      <c r="B175" s="12" t="s">
        <v>306</v>
      </c>
      <c r="C175" s="13" t="s">
        <v>307</v>
      </c>
      <c r="D175" s="14" t="s">
        <v>15</v>
      </c>
      <c r="E175" s="14" t="s">
        <v>16</v>
      </c>
      <c r="F175" s="15">
        <v>42866</v>
      </c>
      <c r="G175" s="16">
        <v>3.7</v>
      </c>
      <c r="H175" s="15"/>
      <c r="I175" s="16"/>
      <c r="J175" s="15"/>
      <c r="K175" s="16"/>
      <c r="L175" s="15"/>
      <c r="M175" s="63"/>
      <c r="N175" s="17"/>
      <c r="O175" s="16"/>
      <c r="P175" s="18">
        <f t="shared" si="2"/>
        <v>3.7</v>
      </c>
    </row>
    <row r="176" spans="1:17" x14ac:dyDescent="0.25">
      <c r="B176" s="12" t="s">
        <v>308</v>
      </c>
      <c r="C176" s="13" t="s">
        <v>309</v>
      </c>
      <c r="D176" s="14" t="s">
        <v>15</v>
      </c>
      <c r="E176" s="14" t="s">
        <v>77</v>
      </c>
      <c r="F176" s="29">
        <v>42830</v>
      </c>
      <c r="G176" s="30">
        <v>1.6867000000000001</v>
      </c>
      <c r="H176" s="15">
        <v>42957</v>
      </c>
      <c r="I176" s="16">
        <v>1</v>
      </c>
      <c r="J176" s="15"/>
      <c r="K176" s="16"/>
      <c r="L176" s="15"/>
      <c r="M176" s="63"/>
      <c r="N176" s="17"/>
      <c r="O176" s="16"/>
      <c r="P176" s="18">
        <f t="shared" si="2"/>
        <v>2.6867000000000001</v>
      </c>
    </row>
    <row r="177" spans="2:16" x14ac:dyDescent="0.25">
      <c r="B177" s="12" t="s">
        <v>310</v>
      </c>
      <c r="C177" s="13" t="s">
        <v>311</v>
      </c>
      <c r="D177" s="14" t="s">
        <v>24</v>
      </c>
      <c r="E177" s="14" t="s">
        <v>16</v>
      </c>
      <c r="F177" s="15">
        <v>42853</v>
      </c>
      <c r="G177" s="16">
        <v>3.3</v>
      </c>
      <c r="H177" s="15"/>
      <c r="I177" s="16"/>
      <c r="J177" s="15"/>
      <c r="K177" s="16"/>
      <c r="L177" s="15"/>
      <c r="M177" s="63"/>
      <c r="N177" s="17"/>
      <c r="O177" s="16"/>
      <c r="P177" s="18">
        <f t="shared" si="2"/>
        <v>3.3</v>
      </c>
    </row>
    <row r="178" spans="2:16" x14ac:dyDescent="0.25">
      <c r="B178" s="12" t="s">
        <v>312</v>
      </c>
      <c r="C178" s="13" t="s">
        <v>313</v>
      </c>
      <c r="D178" s="14" t="s">
        <v>24</v>
      </c>
      <c r="E178" s="14" t="s">
        <v>16</v>
      </c>
      <c r="F178" s="15">
        <v>42844</v>
      </c>
      <c r="G178" s="16">
        <v>2.6</v>
      </c>
      <c r="H178" s="15">
        <v>43074</v>
      </c>
      <c r="I178" s="16">
        <v>1.6</v>
      </c>
      <c r="J178" s="15"/>
      <c r="K178" s="16"/>
      <c r="L178" s="15"/>
      <c r="M178" s="63"/>
      <c r="N178" s="17"/>
      <c r="O178" s="16"/>
      <c r="P178" s="18">
        <f t="shared" si="2"/>
        <v>4.2</v>
      </c>
    </row>
    <row r="179" spans="2:16" x14ac:dyDescent="0.25">
      <c r="B179" s="12" t="s">
        <v>314</v>
      </c>
      <c r="C179" s="13" t="s">
        <v>315</v>
      </c>
      <c r="D179" s="14" t="s">
        <v>15</v>
      </c>
      <c r="E179" s="14" t="s">
        <v>16</v>
      </c>
      <c r="F179" s="15">
        <v>42725</v>
      </c>
      <c r="G179" s="16">
        <v>6.0600000000000001E-2</v>
      </c>
      <c r="H179" s="15">
        <v>42902</v>
      </c>
      <c r="I179" s="16">
        <v>8.5900000000000004E-2</v>
      </c>
      <c r="J179" s="15">
        <v>43081</v>
      </c>
      <c r="K179" s="16">
        <v>6.0499999999999998E-2</v>
      </c>
      <c r="L179" s="15"/>
      <c r="M179" s="63"/>
      <c r="N179" s="17"/>
      <c r="O179" s="16"/>
      <c r="P179" s="18">
        <f t="shared" si="2"/>
        <v>0.20700000000000002</v>
      </c>
    </row>
    <row r="180" spans="2:16" x14ac:dyDescent="0.25">
      <c r="B180" s="19" t="s">
        <v>562</v>
      </c>
      <c r="C180" s="20" t="s">
        <v>589</v>
      </c>
      <c r="D180" s="21" t="s">
        <v>55</v>
      </c>
      <c r="E180" s="22" t="s">
        <v>56</v>
      </c>
      <c r="F180" s="23">
        <v>42830</v>
      </c>
      <c r="G180" s="24">
        <v>0.22</v>
      </c>
      <c r="H180" s="23">
        <v>42921</v>
      </c>
      <c r="I180" s="24">
        <v>0.22</v>
      </c>
      <c r="J180" s="23">
        <v>43013</v>
      </c>
      <c r="K180" s="24">
        <v>0.22</v>
      </c>
      <c r="L180" s="23">
        <v>43108</v>
      </c>
      <c r="M180" s="77">
        <v>0.25</v>
      </c>
      <c r="N180" s="25"/>
      <c r="O180" s="24"/>
      <c r="P180" s="26">
        <f t="shared" si="2"/>
        <v>0.91</v>
      </c>
    </row>
    <row r="181" spans="2:16" x14ac:dyDescent="0.25">
      <c r="B181" s="19" t="s">
        <v>561</v>
      </c>
      <c r="C181" s="20" t="s">
        <v>588</v>
      </c>
      <c r="D181" s="21" t="s">
        <v>55</v>
      </c>
      <c r="E181" s="22" t="s">
        <v>56</v>
      </c>
      <c r="F181" s="23">
        <v>42793</v>
      </c>
      <c r="G181" s="24">
        <v>0.94</v>
      </c>
      <c r="H181" s="23">
        <v>42887</v>
      </c>
      <c r="I181" s="24">
        <v>0.94</v>
      </c>
      <c r="J181" s="23">
        <v>42977</v>
      </c>
      <c r="K181" s="24">
        <v>0.94</v>
      </c>
      <c r="L181" s="23">
        <v>43069</v>
      </c>
      <c r="M181" s="77">
        <v>1.01</v>
      </c>
      <c r="N181" s="25"/>
      <c r="O181" s="24"/>
      <c r="P181" s="26">
        <f t="shared" si="2"/>
        <v>3.83</v>
      </c>
    </row>
    <row r="182" spans="2:16" x14ac:dyDescent="0.25">
      <c r="B182" s="12" t="s">
        <v>316</v>
      </c>
      <c r="C182" s="13" t="s">
        <v>317</v>
      </c>
      <c r="D182" s="14" t="s">
        <v>15</v>
      </c>
      <c r="E182" s="14" t="s">
        <v>16</v>
      </c>
      <c r="F182" s="15"/>
      <c r="G182" s="16"/>
      <c r="H182" s="15"/>
      <c r="I182" s="16"/>
      <c r="J182" s="15"/>
      <c r="K182" s="16"/>
      <c r="L182" s="15"/>
      <c r="M182" s="63"/>
      <c r="N182" s="17"/>
      <c r="O182" s="16"/>
      <c r="P182" s="26">
        <f t="shared" si="2"/>
        <v>0</v>
      </c>
    </row>
    <row r="183" spans="2:16" x14ac:dyDescent="0.25">
      <c r="B183" s="12" t="s">
        <v>318</v>
      </c>
      <c r="C183" s="13" t="s">
        <v>319</v>
      </c>
      <c r="D183" s="14" t="s">
        <v>15</v>
      </c>
      <c r="E183" s="14" t="s">
        <v>16</v>
      </c>
      <c r="F183" s="29">
        <v>42860</v>
      </c>
      <c r="G183" s="30">
        <v>0.43419999999999997</v>
      </c>
      <c r="H183" s="15"/>
      <c r="I183" s="16"/>
      <c r="J183" s="15"/>
      <c r="K183" s="16"/>
      <c r="L183" s="15"/>
      <c r="M183" s="63"/>
      <c r="N183" s="17"/>
      <c r="O183" s="16"/>
      <c r="P183" s="18">
        <f t="shared" si="2"/>
        <v>0.43419999999999997</v>
      </c>
    </row>
    <row r="184" spans="2:16" x14ac:dyDescent="0.25">
      <c r="B184" s="12" t="s">
        <v>320</v>
      </c>
      <c r="C184" s="13" t="s">
        <v>321</v>
      </c>
      <c r="D184" s="14" t="s">
        <v>15</v>
      </c>
      <c r="E184" s="14" t="s">
        <v>16</v>
      </c>
      <c r="F184" s="15">
        <v>43059</v>
      </c>
      <c r="G184" s="16">
        <v>0.37</v>
      </c>
      <c r="H184" s="15"/>
      <c r="I184" s="16"/>
      <c r="J184" s="15"/>
      <c r="K184" s="16"/>
      <c r="L184" s="15"/>
      <c r="M184" s="63"/>
      <c r="N184" s="17"/>
      <c r="O184" s="16"/>
      <c r="P184" s="18">
        <f t="shared" si="2"/>
        <v>0.37</v>
      </c>
    </row>
    <row r="185" spans="2:16" x14ac:dyDescent="0.25">
      <c r="B185" s="19" t="s">
        <v>558</v>
      </c>
      <c r="C185" s="20" t="s">
        <v>585</v>
      </c>
      <c r="D185" s="21" t="s">
        <v>55</v>
      </c>
      <c r="E185" s="22" t="s">
        <v>56</v>
      </c>
      <c r="F185" s="23">
        <v>42816</v>
      </c>
      <c r="G185" s="24">
        <v>0.43</v>
      </c>
      <c r="H185" s="23">
        <v>42921</v>
      </c>
      <c r="I185" s="24">
        <v>0.46</v>
      </c>
      <c r="J185" s="23">
        <v>43006</v>
      </c>
      <c r="K185" s="24">
        <v>0.46</v>
      </c>
      <c r="L185" s="23">
        <v>43097</v>
      </c>
      <c r="M185" s="77">
        <v>0.46</v>
      </c>
      <c r="N185" s="25"/>
      <c r="O185" s="24"/>
      <c r="P185" s="26">
        <f t="shared" si="2"/>
        <v>1.81</v>
      </c>
    </row>
    <row r="186" spans="2:16" x14ac:dyDescent="0.25">
      <c r="B186" s="12" t="s">
        <v>322</v>
      </c>
      <c r="C186" s="13" t="s">
        <v>323</v>
      </c>
      <c r="D186" s="14" t="s">
        <v>15</v>
      </c>
      <c r="E186" s="14" t="s">
        <v>16</v>
      </c>
      <c r="F186" s="15">
        <v>42857</v>
      </c>
      <c r="G186" s="16">
        <v>1.2</v>
      </c>
      <c r="H186" s="15"/>
      <c r="I186" s="16"/>
      <c r="J186" s="15"/>
      <c r="K186" s="16"/>
      <c r="L186" s="15"/>
      <c r="M186" s="63"/>
      <c r="N186" s="17"/>
      <c r="O186" s="16"/>
      <c r="P186" s="18">
        <f t="shared" si="2"/>
        <v>1.2</v>
      </c>
    </row>
    <row r="187" spans="2:16" x14ac:dyDescent="0.25">
      <c r="B187" s="19" t="s">
        <v>324</v>
      </c>
      <c r="C187" s="20" t="s">
        <v>325</v>
      </c>
      <c r="D187" s="21" t="s">
        <v>55</v>
      </c>
      <c r="E187" s="22" t="s">
        <v>56</v>
      </c>
      <c r="F187" s="23">
        <v>42807</v>
      </c>
      <c r="G187" s="24">
        <v>0.47</v>
      </c>
      <c r="H187" s="23">
        <v>42899</v>
      </c>
      <c r="I187" s="24">
        <v>0.47</v>
      </c>
      <c r="J187" s="23">
        <v>42992</v>
      </c>
      <c r="K187" s="24">
        <v>0.47</v>
      </c>
      <c r="L187" s="15">
        <v>43083</v>
      </c>
      <c r="M187" s="16">
        <v>0.48</v>
      </c>
      <c r="N187" s="25"/>
      <c r="O187" s="24"/>
      <c r="P187" s="26">
        <f t="shared" si="2"/>
        <v>1.89</v>
      </c>
    </row>
    <row r="188" spans="2:16" x14ac:dyDescent="0.25">
      <c r="B188" s="12" t="s">
        <v>610</v>
      </c>
      <c r="C188" s="13" t="s">
        <v>326</v>
      </c>
      <c r="D188" s="14" t="s">
        <v>15</v>
      </c>
      <c r="E188" s="14" t="s">
        <v>16</v>
      </c>
      <c r="F188" s="72" t="s">
        <v>611</v>
      </c>
      <c r="G188" s="73"/>
      <c r="H188" s="72" t="s">
        <v>611</v>
      </c>
      <c r="I188" s="73"/>
      <c r="J188" s="72" t="s">
        <v>611</v>
      </c>
      <c r="K188" s="73"/>
      <c r="L188" s="72" t="s">
        <v>611</v>
      </c>
      <c r="M188" s="78"/>
      <c r="N188" s="74" t="s">
        <v>611</v>
      </c>
      <c r="O188" s="73"/>
      <c r="P188" s="75">
        <f t="shared" si="2"/>
        <v>0</v>
      </c>
    </row>
    <row r="189" spans="2:16" x14ac:dyDescent="0.25">
      <c r="B189" s="12" t="s">
        <v>327</v>
      </c>
      <c r="C189" s="13" t="s">
        <v>328</v>
      </c>
      <c r="D189" s="14" t="s">
        <v>15</v>
      </c>
      <c r="E189" s="14" t="s">
        <v>16</v>
      </c>
      <c r="F189" s="15">
        <v>42818</v>
      </c>
      <c r="G189" s="16">
        <v>1.05</v>
      </c>
      <c r="H189" s="15"/>
      <c r="I189" s="16"/>
      <c r="J189" s="15"/>
      <c r="K189" s="16"/>
      <c r="L189" s="15"/>
      <c r="M189" s="63"/>
      <c r="N189" s="17"/>
      <c r="O189" s="16"/>
      <c r="P189" s="18">
        <f t="shared" si="2"/>
        <v>1.05</v>
      </c>
    </row>
    <row r="190" spans="2:16" x14ac:dyDescent="0.25">
      <c r="B190" s="12" t="s">
        <v>329</v>
      </c>
      <c r="C190" s="13" t="s">
        <v>330</v>
      </c>
      <c r="D190" s="14" t="s">
        <v>24</v>
      </c>
      <c r="E190" s="14" t="s">
        <v>16</v>
      </c>
      <c r="F190" s="15">
        <v>42879</v>
      </c>
      <c r="G190" s="16">
        <v>3.25</v>
      </c>
      <c r="H190" s="15"/>
      <c r="I190" s="16"/>
      <c r="J190" s="15"/>
      <c r="K190" s="16"/>
      <c r="L190" s="15"/>
      <c r="M190" s="63"/>
      <c r="N190" s="17"/>
      <c r="O190" s="16"/>
      <c r="P190" s="18">
        <f t="shared" si="2"/>
        <v>3.25</v>
      </c>
    </row>
    <row r="191" spans="2:16" x14ac:dyDescent="0.25">
      <c r="B191" s="19" t="s">
        <v>331</v>
      </c>
      <c r="C191" s="20" t="s">
        <v>332</v>
      </c>
      <c r="D191" s="21" t="s">
        <v>55</v>
      </c>
      <c r="E191" s="22" t="s">
        <v>56</v>
      </c>
      <c r="F191" s="23">
        <v>42780</v>
      </c>
      <c r="G191" s="24">
        <v>0.39</v>
      </c>
      <c r="H191" s="23">
        <v>42871</v>
      </c>
      <c r="I191" s="24">
        <v>0.39</v>
      </c>
      <c r="J191" s="23">
        <v>42962</v>
      </c>
      <c r="K191" s="24">
        <v>0.39</v>
      </c>
      <c r="L191" s="23">
        <v>43054</v>
      </c>
      <c r="M191" s="24">
        <v>0.42</v>
      </c>
      <c r="N191" s="25"/>
      <c r="O191" s="24"/>
      <c r="P191" s="26">
        <f t="shared" si="2"/>
        <v>1.5899999999999999</v>
      </c>
    </row>
    <row r="192" spans="2:16" x14ac:dyDescent="0.25">
      <c r="B192" s="12" t="s">
        <v>333</v>
      </c>
      <c r="C192" s="13" t="s">
        <v>334</v>
      </c>
      <c r="D192" s="14" t="s">
        <v>15</v>
      </c>
      <c r="E192" s="14" t="s">
        <v>16</v>
      </c>
      <c r="F192" s="15">
        <v>42852</v>
      </c>
      <c r="G192" s="16">
        <v>8.6</v>
      </c>
      <c r="H192" s="15"/>
      <c r="I192" s="16"/>
      <c r="J192" s="15"/>
      <c r="K192" s="16"/>
      <c r="L192" s="15"/>
      <c r="M192" s="63"/>
      <c r="N192" s="17"/>
      <c r="O192" s="16"/>
      <c r="P192" s="18">
        <f t="shared" si="2"/>
        <v>8.6</v>
      </c>
    </row>
    <row r="193" spans="2:16" x14ac:dyDescent="0.25">
      <c r="B193" s="12" t="s">
        <v>335</v>
      </c>
      <c r="C193" s="13" t="s">
        <v>336</v>
      </c>
      <c r="D193" s="14" t="s">
        <v>15</v>
      </c>
      <c r="E193" s="14" t="s">
        <v>77</v>
      </c>
      <c r="F193" s="15">
        <v>42887</v>
      </c>
      <c r="G193" s="16">
        <v>29.1</v>
      </c>
      <c r="H193" s="15">
        <v>43062</v>
      </c>
      <c r="I193" s="16">
        <v>15.49</v>
      </c>
      <c r="J193" s="15"/>
      <c r="K193" s="16"/>
      <c r="L193" s="15"/>
      <c r="M193" s="63"/>
      <c r="N193" s="17"/>
      <c r="O193" s="16"/>
      <c r="P193" s="18">
        <f t="shared" si="2"/>
        <v>44.59</v>
      </c>
    </row>
    <row r="194" spans="2:16" x14ac:dyDescent="0.25">
      <c r="B194" s="12" t="s">
        <v>337</v>
      </c>
      <c r="C194" s="13" t="s">
        <v>338</v>
      </c>
      <c r="D194" s="14" t="s">
        <v>24</v>
      </c>
      <c r="E194" s="14" t="s">
        <v>16</v>
      </c>
      <c r="F194" s="15">
        <v>42881</v>
      </c>
      <c r="G194" s="16">
        <v>0.35</v>
      </c>
      <c r="H194" s="15"/>
      <c r="I194" s="16"/>
      <c r="J194" s="15"/>
      <c r="K194" s="16"/>
      <c r="L194" s="15"/>
      <c r="M194" s="63"/>
      <c r="N194" s="17"/>
      <c r="O194" s="16"/>
      <c r="P194" s="18">
        <f t="shared" si="2"/>
        <v>0.35</v>
      </c>
    </row>
    <row r="195" spans="2:16" x14ac:dyDescent="0.25">
      <c r="B195" s="12" t="s">
        <v>339</v>
      </c>
      <c r="C195" s="13" t="s">
        <v>340</v>
      </c>
      <c r="D195" s="14" t="s">
        <v>15</v>
      </c>
      <c r="E195" s="14" t="s">
        <v>16</v>
      </c>
      <c r="F195" s="15">
        <v>42831</v>
      </c>
      <c r="G195" s="16">
        <v>1.3</v>
      </c>
      <c r="H195" s="15"/>
      <c r="I195" s="16"/>
      <c r="J195" s="15"/>
      <c r="K195" s="16"/>
      <c r="L195" s="15"/>
      <c r="M195" s="63"/>
      <c r="N195" s="17"/>
      <c r="O195" s="16"/>
      <c r="P195" s="18">
        <f t="shared" si="2"/>
        <v>1.3</v>
      </c>
    </row>
    <row r="196" spans="2:16" x14ac:dyDescent="0.25">
      <c r="B196" s="12" t="s">
        <v>341</v>
      </c>
      <c r="C196" s="13" t="s">
        <v>342</v>
      </c>
      <c r="D196" s="14" t="s">
        <v>15</v>
      </c>
      <c r="E196" s="14" t="s">
        <v>21</v>
      </c>
      <c r="F196" s="15">
        <v>42835</v>
      </c>
      <c r="G196" s="16">
        <v>2.2999999999999998</v>
      </c>
      <c r="H196" s="15"/>
      <c r="I196" s="16"/>
      <c r="J196" s="15"/>
      <c r="K196" s="16"/>
      <c r="L196" s="15"/>
      <c r="M196" s="63"/>
      <c r="N196" s="17"/>
      <c r="O196" s="16"/>
      <c r="P196" s="18">
        <f t="shared" si="2"/>
        <v>2.2999999999999998</v>
      </c>
    </row>
    <row r="197" spans="2:16" x14ac:dyDescent="0.25">
      <c r="B197" s="12" t="s">
        <v>343</v>
      </c>
      <c r="C197" s="13" t="s">
        <v>344</v>
      </c>
      <c r="D197" s="14" t="s">
        <v>15</v>
      </c>
      <c r="E197" s="14" t="s">
        <v>16</v>
      </c>
      <c r="F197" s="15">
        <v>42891</v>
      </c>
      <c r="G197" s="16">
        <v>0.95</v>
      </c>
      <c r="H197" s="15">
        <v>42968</v>
      </c>
      <c r="I197" s="16">
        <v>0.62</v>
      </c>
      <c r="J197" s="15"/>
      <c r="K197" s="16"/>
      <c r="L197" s="15"/>
      <c r="M197" s="63"/>
      <c r="N197" s="17"/>
      <c r="O197" s="16"/>
      <c r="P197" s="18">
        <f t="shared" si="2"/>
        <v>1.5699999999999998</v>
      </c>
    </row>
    <row r="198" spans="2:16" x14ac:dyDescent="0.25">
      <c r="B198" s="12" t="s">
        <v>345</v>
      </c>
      <c r="C198" s="13" t="s">
        <v>346</v>
      </c>
      <c r="D198" s="14" t="s">
        <v>15</v>
      </c>
      <c r="E198" s="14" t="s">
        <v>16</v>
      </c>
      <c r="F198" s="15">
        <v>42879</v>
      </c>
      <c r="G198" s="16">
        <v>0.17</v>
      </c>
      <c r="H198" s="15"/>
      <c r="I198" s="16"/>
      <c r="J198" s="15"/>
      <c r="K198" s="16"/>
      <c r="L198" s="15"/>
      <c r="M198" s="63"/>
      <c r="N198" s="17"/>
      <c r="O198" s="16"/>
      <c r="P198" s="18">
        <f t="shared" si="2"/>
        <v>0.17</v>
      </c>
    </row>
    <row r="199" spans="2:16" x14ac:dyDescent="0.25">
      <c r="B199" s="31" t="s">
        <v>347</v>
      </c>
      <c r="C199" s="32" t="s">
        <v>348</v>
      </c>
      <c r="D199" s="39" t="s">
        <v>15</v>
      </c>
      <c r="E199" s="39" t="s">
        <v>16</v>
      </c>
      <c r="F199" s="15">
        <v>42811</v>
      </c>
      <c r="G199" s="16">
        <v>0.65</v>
      </c>
      <c r="H199" s="15"/>
      <c r="I199" s="16"/>
      <c r="J199" s="15"/>
      <c r="K199" s="16"/>
      <c r="L199" s="15"/>
      <c r="M199" s="63"/>
      <c r="N199" s="17"/>
      <c r="O199" s="16"/>
      <c r="P199" s="18">
        <f t="shared" si="2"/>
        <v>0.65</v>
      </c>
    </row>
    <row r="200" spans="2:16" x14ac:dyDescent="0.25">
      <c r="B200" s="31" t="s">
        <v>349</v>
      </c>
      <c r="C200" s="32" t="s">
        <v>350</v>
      </c>
      <c r="D200" s="39" t="s">
        <v>15</v>
      </c>
      <c r="E200" s="39" t="s">
        <v>21</v>
      </c>
      <c r="F200" s="15">
        <v>42796</v>
      </c>
      <c r="G200" s="16">
        <v>2.75</v>
      </c>
      <c r="H200" s="15"/>
      <c r="I200" s="16"/>
      <c r="J200" s="15"/>
      <c r="K200" s="16"/>
      <c r="L200" s="15"/>
      <c r="M200" s="63"/>
      <c r="N200" s="17"/>
      <c r="O200" s="16"/>
      <c r="P200" s="18">
        <f t="shared" si="2"/>
        <v>2.75</v>
      </c>
    </row>
    <row r="201" spans="2:16" x14ac:dyDescent="0.25">
      <c r="B201" s="31" t="s">
        <v>351</v>
      </c>
      <c r="C201" s="32" t="s">
        <v>352</v>
      </c>
      <c r="D201" s="39" t="s">
        <v>15</v>
      </c>
      <c r="E201" s="39" t="s">
        <v>77</v>
      </c>
      <c r="F201" s="40">
        <v>42824</v>
      </c>
      <c r="G201" s="41">
        <v>3.39</v>
      </c>
      <c r="H201" s="40">
        <v>42999</v>
      </c>
      <c r="I201" s="41">
        <v>3.53</v>
      </c>
      <c r="J201" s="40"/>
      <c r="K201" s="41"/>
      <c r="L201" s="40"/>
      <c r="M201" s="79"/>
      <c r="N201" s="42"/>
      <c r="O201" s="41"/>
      <c r="P201" s="43">
        <f t="shared" si="2"/>
        <v>6.92</v>
      </c>
    </row>
    <row r="202" spans="2:16" x14ac:dyDescent="0.25">
      <c r="B202" s="64" t="s">
        <v>555</v>
      </c>
      <c r="C202" s="65" t="s">
        <v>582</v>
      </c>
      <c r="D202" s="67" t="s">
        <v>55</v>
      </c>
      <c r="E202" s="68" t="s">
        <v>56</v>
      </c>
      <c r="F202" s="23">
        <v>42835</v>
      </c>
      <c r="G202" s="24">
        <v>0.19</v>
      </c>
      <c r="H202" s="23">
        <v>42933</v>
      </c>
      <c r="I202" s="24">
        <v>0.19</v>
      </c>
      <c r="J202" s="23">
        <v>43018</v>
      </c>
      <c r="K202" s="24">
        <v>0.19</v>
      </c>
      <c r="L202" s="23">
        <v>43109</v>
      </c>
      <c r="M202" s="77">
        <v>0.19</v>
      </c>
      <c r="N202" s="25"/>
      <c r="O202" s="24"/>
      <c r="P202" s="26">
        <f t="shared" si="2"/>
        <v>0.76</v>
      </c>
    </row>
    <row r="203" spans="2:16" x14ac:dyDescent="0.25">
      <c r="B203" s="12" t="s">
        <v>353</v>
      </c>
      <c r="C203" s="13" t="s">
        <v>354</v>
      </c>
      <c r="D203" s="14" t="s">
        <v>24</v>
      </c>
      <c r="E203" s="14" t="s">
        <v>16</v>
      </c>
      <c r="F203" s="15">
        <v>42898</v>
      </c>
      <c r="G203" s="16">
        <v>0.4</v>
      </c>
      <c r="H203" s="15">
        <v>43074</v>
      </c>
      <c r="I203" s="16">
        <v>0.25</v>
      </c>
      <c r="J203" s="15"/>
      <c r="K203" s="16"/>
      <c r="L203" s="15"/>
      <c r="M203" s="63"/>
      <c r="N203" s="17"/>
      <c r="O203" s="16"/>
      <c r="P203" s="18">
        <f t="shared" si="2"/>
        <v>0.65</v>
      </c>
    </row>
    <row r="204" spans="2:16" x14ac:dyDescent="0.25">
      <c r="B204" s="44" t="s">
        <v>357</v>
      </c>
      <c r="C204" s="35" t="s">
        <v>358</v>
      </c>
      <c r="D204" s="45" t="s">
        <v>15</v>
      </c>
      <c r="E204" s="45" t="s">
        <v>77</v>
      </c>
      <c r="F204" s="46">
        <v>42831</v>
      </c>
      <c r="G204" s="47">
        <v>34</v>
      </c>
      <c r="H204" s="46">
        <v>42964</v>
      </c>
      <c r="I204" s="47">
        <v>5</v>
      </c>
      <c r="J204" s="46"/>
      <c r="K204" s="47"/>
      <c r="L204" s="46"/>
      <c r="M204" s="80"/>
      <c r="N204" s="48"/>
      <c r="O204" s="47"/>
      <c r="P204" s="49">
        <f t="shared" si="2"/>
        <v>39</v>
      </c>
    </row>
    <row r="205" spans="2:16" x14ac:dyDescent="0.25">
      <c r="B205" s="19" t="s">
        <v>551</v>
      </c>
      <c r="C205" s="20" t="s">
        <v>578</v>
      </c>
      <c r="D205" s="21" t="s">
        <v>55</v>
      </c>
      <c r="E205" s="22" t="s">
        <v>56</v>
      </c>
      <c r="F205" s="23">
        <v>42795</v>
      </c>
      <c r="G205" s="24">
        <v>0.75249999999999995</v>
      </c>
      <c r="H205" s="23">
        <v>42886</v>
      </c>
      <c r="I205" s="24">
        <v>0.80500000000000005</v>
      </c>
      <c r="J205" s="23">
        <v>42977</v>
      </c>
      <c r="K205" s="24">
        <v>0.80500000000000005</v>
      </c>
      <c r="L205" s="23">
        <v>43069</v>
      </c>
      <c r="M205" s="77">
        <v>0.80500000000000005</v>
      </c>
      <c r="N205" s="25"/>
      <c r="O205" s="24"/>
      <c r="P205" s="26">
        <f t="shared" si="2"/>
        <v>3.1675000000000004</v>
      </c>
    </row>
    <row r="206" spans="2:16" x14ac:dyDescent="0.25">
      <c r="B206" s="12" t="s">
        <v>359</v>
      </c>
      <c r="C206" s="13" t="s">
        <v>360</v>
      </c>
      <c r="D206" s="14" t="s">
        <v>24</v>
      </c>
      <c r="E206" s="14" t="s">
        <v>16</v>
      </c>
      <c r="F206" s="15">
        <v>42921</v>
      </c>
      <c r="G206" s="16">
        <v>0.94</v>
      </c>
      <c r="H206" s="15">
        <v>43059</v>
      </c>
      <c r="I206" s="16">
        <v>1.08</v>
      </c>
      <c r="J206" s="15"/>
      <c r="K206" s="16"/>
      <c r="L206" s="15"/>
      <c r="M206" s="63"/>
      <c r="N206" s="17"/>
      <c r="O206" s="16"/>
      <c r="P206" s="18">
        <f t="shared" si="2"/>
        <v>2.02</v>
      </c>
    </row>
    <row r="207" spans="2:16" x14ac:dyDescent="0.25">
      <c r="B207" s="12" t="s">
        <v>361</v>
      </c>
      <c r="C207" s="13" t="s">
        <v>362</v>
      </c>
      <c r="D207" s="14" t="s">
        <v>24</v>
      </c>
      <c r="E207" s="14" t="s">
        <v>16</v>
      </c>
      <c r="F207" s="15">
        <v>42870</v>
      </c>
      <c r="G207" s="16">
        <v>0.48</v>
      </c>
      <c r="H207" s="15"/>
      <c r="I207" s="16"/>
      <c r="J207" s="15"/>
      <c r="K207" s="16"/>
      <c r="L207" s="15"/>
      <c r="M207" s="63"/>
      <c r="N207" s="17"/>
      <c r="O207" s="16"/>
      <c r="P207" s="18">
        <f t="shared" si="2"/>
        <v>0.48</v>
      </c>
    </row>
    <row r="208" spans="2:16" x14ac:dyDescent="0.25">
      <c r="B208" s="19" t="s">
        <v>363</v>
      </c>
      <c r="C208" s="20" t="s">
        <v>364</v>
      </c>
      <c r="D208" s="21" t="s">
        <v>55</v>
      </c>
      <c r="E208" s="22" t="s">
        <v>56</v>
      </c>
      <c r="F208" s="23">
        <v>42767</v>
      </c>
      <c r="G208" s="24">
        <v>0.32</v>
      </c>
      <c r="H208" s="23">
        <v>42865</v>
      </c>
      <c r="I208" s="24">
        <v>0.32</v>
      </c>
      <c r="J208" s="23">
        <v>42949</v>
      </c>
      <c r="K208" s="24">
        <v>0.32</v>
      </c>
      <c r="L208" s="23">
        <v>43048</v>
      </c>
      <c r="M208" s="24">
        <v>0.32</v>
      </c>
      <c r="N208" s="25"/>
      <c r="O208" s="24"/>
      <c r="P208" s="26">
        <f t="shared" si="2"/>
        <v>1.28</v>
      </c>
    </row>
    <row r="209" spans="2:16" x14ac:dyDescent="0.25">
      <c r="B209" s="19" t="s">
        <v>606</v>
      </c>
      <c r="C209" s="20" t="s">
        <v>365</v>
      </c>
      <c r="D209" s="21" t="s">
        <v>55</v>
      </c>
      <c r="E209" s="22" t="s">
        <v>56</v>
      </c>
      <c r="F209" s="23">
        <v>42815</v>
      </c>
      <c r="G209" s="24">
        <v>1.04</v>
      </c>
      <c r="H209" s="23">
        <v>42907</v>
      </c>
      <c r="I209" s="24">
        <v>1.04</v>
      </c>
      <c r="J209" s="23">
        <v>43004</v>
      </c>
      <c r="K209" s="24">
        <v>1.07</v>
      </c>
      <c r="L209" s="23">
        <v>43089</v>
      </c>
      <c r="M209" s="77">
        <v>1.07</v>
      </c>
      <c r="N209" s="25"/>
      <c r="O209" s="24"/>
      <c r="P209" s="26">
        <f t="shared" ref="P209:P254" si="3">G209+I209+K209+M209+O209</f>
        <v>4.2200000000000006</v>
      </c>
    </row>
    <row r="210" spans="2:16" x14ac:dyDescent="0.25">
      <c r="B210" s="12" t="s">
        <v>366</v>
      </c>
      <c r="C210" s="13" t="s">
        <v>367</v>
      </c>
      <c r="D210" s="14" t="s">
        <v>15</v>
      </c>
      <c r="E210" s="14" t="s">
        <v>16</v>
      </c>
      <c r="F210" s="15">
        <v>42870</v>
      </c>
      <c r="G210" s="16">
        <v>0.8</v>
      </c>
      <c r="H210" s="15"/>
      <c r="I210" s="16"/>
      <c r="J210" s="15"/>
      <c r="K210" s="16"/>
      <c r="L210" s="15"/>
      <c r="M210" s="16"/>
      <c r="N210" s="17"/>
      <c r="O210" s="16"/>
      <c r="P210" s="18">
        <f t="shared" si="3"/>
        <v>0.8</v>
      </c>
    </row>
    <row r="211" spans="2:16" x14ac:dyDescent="0.25">
      <c r="B211" s="19" t="s">
        <v>355</v>
      </c>
      <c r="C211" s="20" t="s">
        <v>356</v>
      </c>
      <c r="D211" s="21" t="s">
        <v>55</v>
      </c>
      <c r="E211" s="22" t="s">
        <v>56</v>
      </c>
      <c r="F211" s="23">
        <v>42844</v>
      </c>
      <c r="G211" s="24">
        <v>0.68959999999999999</v>
      </c>
      <c r="H211" s="23">
        <v>42935</v>
      </c>
      <c r="I211" s="24">
        <v>0.68959999999999999</v>
      </c>
      <c r="J211" s="23">
        <v>43027</v>
      </c>
      <c r="K211" s="24">
        <v>0.68959999999999999</v>
      </c>
      <c r="L211" s="23">
        <v>43118</v>
      </c>
      <c r="M211" s="77">
        <v>0.68959999999999999</v>
      </c>
      <c r="N211" s="25"/>
      <c r="O211" s="24"/>
      <c r="P211" s="26">
        <f t="shared" si="3"/>
        <v>2.7584</v>
      </c>
    </row>
    <row r="212" spans="2:16" x14ac:dyDescent="0.25">
      <c r="B212" s="12" t="s">
        <v>368</v>
      </c>
      <c r="C212" s="13" t="s">
        <v>369</v>
      </c>
      <c r="D212" s="14" t="s">
        <v>27</v>
      </c>
      <c r="E212" s="14" t="s">
        <v>16</v>
      </c>
      <c r="F212" s="15">
        <v>42851</v>
      </c>
      <c r="G212" s="16">
        <v>1</v>
      </c>
      <c r="H212" s="15">
        <v>43075</v>
      </c>
      <c r="I212" s="16">
        <v>0.5</v>
      </c>
      <c r="J212" s="15"/>
      <c r="K212" s="16"/>
      <c r="L212" s="15"/>
      <c r="M212" s="63"/>
      <c r="N212" s="17"/>
      <c r="O212" s="16"/>
      <c r="P212" s="18">
        <f t="shared" si="3"/>
        <v>1.5</v>
      </c>
    </row>
    <row r="213" spans="2:16" x14ac:dyDescent="0.25">
      <c r="B213" s="12" t="s">
        <v>370</v>
      </c>
      <c r="C213" s="13" t="s">
        <v>371</v>
      </c>
      <c r="D213" s="14" t="s">
        <v>15</v>
      </c>
      <c r="E213" s="14" t="s">
        <v>77</v>
      </c>
      <c r="F213" s="15">
        <v>42824</v>
      </c>
      <c r="G213" s="16">
        <v>30.57</v>
      </c>
      <c r="H213" s="15">
        <v>42971</v>
      </c>
      <c r="I213" s="16">
        <v>14.5</v>
      </c>
      <c r="J213" s="15"/>
      <c r="K213" s="16"/>
      <c r="L213" s="15"/>
      <c r="M213" s="16"/>
      <c r="N213" s="17"/>
      <c r="O213" s="16"/>
      <c r="P213" s="18">
        <f t="shared" si="3"/>
        <v>45.07</v>
      </c>
    </row>
    <row r="214" spans="2:16" x14ac:dyDescent="0.25">
      <c r="B214" s="12" t="s">
        <v>372</v>
      </c>
      <c r="C214" s="13" t="s">
        <v>373</v>
      </c>
      <c r="D214" s="14" t="s">
        <v>24</v>
      </c>
      <c r="E214" s="14" t="s">
        <v>16</v>
      </c>
      <c r="F214" s="15">
        <v>42892</v>
      </c>
      <c r="G214" s="16">
        <v>1.85</v>
      </c>
      <c r="H214" s="15"/>
      <c r="I214" s="16"/>
      <c r="J214" s="15"/>
      <c r="K214" s="16"/>
      <c r="L214" s="15"/>
      <c r="M214" s="16"/>
      <c r="N214" s="17"/>
      <c r="O214" s="16"/>
      <c r="P214" s="18">
        <f t="shared" si="3"/>
        <v>1.85</v>
      </c>
    </row>
    <row r="215" spans="2:16" x14ac:dyDescent="0.25">
      <c r="B215" s="19" t="s">
        <v>572</v>
      </c>
      <c r="C215" s="20" t="s">
        <v>599</v>
      </c>
      <c r="D215" s="21" t="s">
        <v>55</v>
      </c>
      <c r="E215" s="22" t="s">
        <v>56</v>
      </c>
      <c r="F215" s="23">
        <v>42793</v>
      </c>
      <c r="G215" s="24">
        <v>0.53</v>
      </c>
      <c r="H215" s="23">
        <v>42881</v>
      </c>
      <c r="I215" s="24">
        <v>0.56999999999999995</v>
      </c>
      <c r="J215" s="23">
        <v>42975</v>
      </c>
      <c r="K215" s="24">
        <v>0.56999999999999995</v>
      </c>
      <c r="L215" s="23">
        <v>43067</v>
      </c>
      <c r="M215" s="24">
        <v>0.56999999999999995</v>
      </c>
      <c r="N215" s="25"/>
      <c r="O215" s="24"/>
      <c r="P215" s="26">
        <f t="shared" si="3"/>
        <v>2.2399999999999998</v>
      </c>
    </row>
    <row r="216" spans="2:16" x14ac:dyDescent="0.25">
      <c r="B216" s="12" t="s">
        <v>374</v>
      </c>
      <c r="C216" s="13" t="s">
        <v>375</v>
      </c>
      <c r="D216" s="14" t="s">
        <v>15</v>
      </c>
      <c r="E216" s="14" t="s">
        <v>16</v>
      </c>
      <c r="F216" s="15">
        <v>42828</v>
      </c>
      <c r="G216" s="16">
        <v>1.89</v>
      </c>
      <c r="H216" s="15"/>
      <c r="I216" s="16"/>
      <c r="J216" s="15"/>
      <c r="K216" s="16"/>
      <c r="L216" s="15"/>
      <c r="M216" s="16"/>
      <c r="N216" s="17"/>
      <c r="O216" s="16"/>
      <c r="P216" s="18">
        <f t="shared" si="3"/>
        <v>1.89</v>
      </c>
    </row>
    <row r="217" spans="2:16" x14ac:dyDescent="0.25">
      <c r="B217" s="12" t="s">
        <v>376</v>
      </c>
      <c r="C217" s="13" t="s">
        <v>377</v>
      </c>
      <c r="D217" s="14" t="s">
        <v>15</v>
      </c>
      <c r="E217" s="14" t="s">
        <v>77</v>
      </c>
      <c r="F217" s="15">
        <v>42838</v>
      </c>
      <c r="G217" s="16">
        <v>95</v>
      </c>
      <c r="H217" s="15">
        <v>42964</v>
      </c>
      <c r="I217" s="16">
        <v>66.599999999999994</v>
      </c>
      <c r="J217" s="15"/>
      <c r="K217" s="16"/>
      <c r="L217" s="15"/>
      <c r="M217" s="16"/>
      <c r="N217" s="17"/>
      <c r="O217" s="16"/>
      <c r="P217" s="18">
        <f t="shared" si="3"/>
        <v>161.6</v>
      </c>
    </row>
    <row r="218" spans="2:16" x14ac:dyDescent="0.25">
      <c r="B218" s="12" t="s">
        <v>378</v>
      </c>
      <c r="C218" s="13" t="s">
        <v>379</v>
      </c>
      <c r="D218" s="14" t="s">
        <v>15</v>
      </c>
      <c r="E218" s="14" t="s">
        <v>16</v>
      </c>
      <c r="F218" s="15">
        <v>42738</v>
      </c>
      <c r="G218" s="16">
        <v>0.2382</v>
      </c>
      <c r="H218" s="15">
        <v>42915</v>
      </c>
      <c r="I218" s="16">
        <v>0.62050000000000005</v>
      </c>
      <c r="J218" s="15"/>
      <c r="K218" s="16"/>
      <c r="L218" s="15"/>
      <c r="M218" s="16"/>
      <c r="N218" s="17"/>
      <c r="O218" s="16"/>
      <c r="P218" s="18">
        <f t="shared" si="3"/>
        <v>0.85870000000000002</v>
      </c>
    </row>
    <row r="219" spans="2:16" x14ac:dyDescent="0.25">
      <c r="B219" s="12" t="s">
        <v>380</v>
      </c>
      <c r="C219" s="13" t="s">
        <v>381</v>
      </c>
      <c r="D219" s="14" t="s">
        <v>15</v>
      </c>
      <c r="E219" s="14" t="s">
        <v>16</v>
      </c>
      <c r="F219" s="15">
        <v>42852</v>
      </c>
      <c r="G219" s="16">
        <v>0.30099999999999999</v>
      </c>
      <c r="H219" s="15">
        <v>42950</v>
      </c>
      <c r="I219" s="16">
        <v>0.13200000000000001</v>
      </c>
      <c r="J219" s="15"/>
      <c r="K219" s="16"/>
      <c r="L219" s="15"/>
      <c r="M219" s="16"/>
      <c r="N219" s="17"/>
      <c r="O219" s="16"/>
      <c r="P219" s="18">
        <f t="shared" si="3"/>
        <v>0.433</v>
      </c>
    </row>
    <row r="220" spans="2:16" x14ac:dyDescent="0.25">
      <c r="B220" s="12" t="s">
        <v>382</v>
      </c>
      <c r="C220" s="13" t="s">
        <v>383</v>
      </c>
      <c r="D220" s="14" t="s">
        <v>15</v>
      </c>
      <c r="E220" s="14" t="s">
        <v>77</v>
      </c>
      <c r="F220" s="15">
        <v>42852</v>
      </c>
      <c r="G220" s="16">
        <v>25.7</v>
      </c>
      <c r="H220" s="15">
        <v>42950</v>
      </c>
      <c r="I220" s="16">
        <v>11.7</v>
      </c>
      <c r="J220" s="15"/>
      <c r="K220" s="16"/>
      <c r="L220" s="15"/>
      <c r="M220" s="16"/>
      <c r="N220" s="17"/>
      <c r="O220" s="16"/>
      <c r="P220" s="18">
        <f t="shared" si="3"/>
        <v>37.4</v>
      </c>
    </row>
    <row r="221" spans="2:16" x14ac:dyDescent="0.25">
      <c r="B221" s="12" t="s">
        <v>384</v>
      </c>
      <c r="C221" s="13" t="s">
        <v>385</v>
      </c>
      <c r="D221" s="14" t="s">
        <v>24</v>
      </c>
      <c r="E221" s="14" t="s">
        <v>16</v>
      </c>
      <c r="F221" s="15">
        <v>42907</v>
      </c>
      <c r="G221" s="16">
        <v>3.15</v>
      </c>
      <c r="H221" s="15"/>
      <c r="I221" s="16"/>
      <c r="J221" s="15"/>
      <c r="K221" s="16"/>
      <c r="L221" s="15"/>
      <c r="M221" s="16"/>
      <c r="N221" s="17"/>
      <c r="O221" s="16"/>
      <c r="P221" s="18">
        <f t="shared" si="3"/>
        <v>3.15</v>
      </c>
    </row>
    <row r="222" spans="2:16" x14ac:dyDescent="0.25">
      <c r="B222" s="12" t="s">
        <v>386</v>
      </c>
      <c r="C222" s="13" t="s">
        <v>387</v>
      </c>
      <c r="D222" s="14" t="s">
        <v>15</v>
      </c>
      <c r="E222" s="14" t="s">
        <v>16</v>
      </c>
      <c r="F222" s="15">
        <v>42723</v>
      </c>
      <c r="G222" s="16">
        <v>0.33500000000000002</v>
      </c>
      <c r="H222" s="15">
        <v>42898</v>
      </c>
      <c r="I222" s="16">
        <v>0.42599999999999999</v>
      </c>
      <c r="J222" s="15"/>
      <c r="K222" s="16"/>
      <c r="L222" s="15"/>
      <c r="M222" s="16"/>
      <c r="N222" s="17"/>
      <c r="O222" s="16"/>
      <c r="P222" s="18">
        <f t="shared" si="3"/>
        <v>0.76100000000000001</v>
      </c>
    </row>
    <row r="223" spans="2:16" x14ac:dyDescent="0.25">
      <c r="B223" s="12" t="s">
        <v>388</v>
      </c>
      <c r="C223" s="13" t="s">
        <v>389</v>
      </c>
      <c r="D223" s="14" t="s">
        <v>15</v>
      </c>
      <c r="E223" s="14" t="s">
        <v>77</v>
      </c>
      <c r="F223" s="15">
        <v>42789</v>
      </c>
      <c r="G223" s="16">
        <v>100.56</v>
      </c>
      <c r="H223" s="15">
        <v>42957</v>
      </c>
      <c r="I223" s="16">
        <v>83.13</v>
      </c>
      <c r="J223" s="15"/>
      <c r="K223" s="16"/>
      <c r="L223" s="15"/>
      <c r="M223" s="16"/>
      <c r="N223" s="17"/>
      <c r="O223" s="16"/>
      <c r="P223" s="18">
        <f t="shared" si="3"/>
        <v>183.69</v>
      </c>
    </row>
    <row r="224" spans="2:16" x14ac:dyDescent="0.25">
      <c r="B224" s="12" t="s">
        <v>390</v>
      </c>
      <c r="C224" s="13" t="s">
        <v>391</v>
      </c>
      <c r="D224" s="14" t="s">
        <v>15</v>
      </c>
      <c r="E224" s="14" t="s">
        <v>21</v>
      </c>
      <c r="F224" s="15">
        <v>42810</v>
      </c>
      <c r="G224" s="16">
        <v>8.1999999999999993</v>
      </c>
      <c r="H224" s="15"/>
      <c r="I224" s="16"/>
      <c r="J224" s="15"/>
      <c r="K224" s="16"/>
      <c r="L224" s="15"/>
      <c r="M224" s="16"/>
      <c r="N224" s="17"/>
      <c r="O224" s="16"/>
      <c r="P224" s="18">
        <f t="shared" si="3"/>
        <v>8.1999999999999993</v>
      </c>
    </row>
    <row r="225" spans="2:16" x14ac:dyDescent="0.25">
      <c r="B225" s="31" t="s">
        <v>392</v>
      </c>
      <c r="C225" s="32" t="s">
        <v>393</v>
      </c>
      <c r="D225" s="39" t="s">
        <v>15</v>
      </c>
      <c r="E225" s="39" t="s">
        <v>77</v>
      </c>
      <c r="F225" s="40">
        <v>42852</v>
      </c>
      <c r="G225" s="41">
        <v>7.1</v>
      </c>
      <c r="H225" s="40">
        <v>43034</v>
      </c>
      <c r="I225" s="41">
        <v>4.5999999999999996</v>
      </c>
      <c r="J225" s="40"/>
      <c r="K225" s="41"/>
      <c r="L225" s="40"/>
      <c r="M225" s="41"/>
      <c r="N225" s="42"/>
      <c r="O225" s="41"/>
      <c r="P225" s="43">
        <f t="shared" si="3"/>
        <v>11.7</v>
      </c>
    </row>
    <row r="226" spans="2:16" x14ac:dyDescent="0.25">
      <c r="B226" s="12" t="s">
        <v>394</v>
      </c>
      <c r="C226" s="13" t="s">
        <v>395</v>
      </c>
      <c r="D226" s="14" t="s">
        <v>15</v>
      </c>
      <c r="E226" s="14" t="s">
        <v>16</v>
      </c>
      <c r="F226" s="15">
        <v>42782</v>
      </c>
      <c r="G226" s="16">
        <v>0.442</v>
      </c>
      <c r="H226" s="15">
        <v>42873</v>
      </c>
      <c r="I226" s="16">
        <v>0.4194</v>
      </c>
      <c r="J226" s="15">
        <v>42957</v>
      </c>
      <c r="K226" s="16">
        <v>0.39489999999999997</v>
      </c>
      <c r="L226" s="15">
        <v>43055</v>
      </c>
      <c r="M226" s="16">
        <v>0.39850000000000002</v>
      </c>
      <c r="N226" s="17"/>
      <c r="O226" s="16"/>
      <c r="P226" s="18">
        <f t="shared" si="3"/>
        <v>1.6548</v>
      </c>
    </row>
    <row r="227" spans="2:16" x14ac:dyDescent="0.25">
      <c r="B227" s="12" t="s">
        <v>396</v>
      </c>
      <c r="C227" s="13" t="s">
        <v>397</v>
      </c>
      <c r="D227" s="14" t="s">
        <v>15</v>
      </c>
      <c r="E227" s="14" t="s">
        <v>16</v>
      </c>
      <c r="F227" s="15"/>
      <c r="G227" s="16"/>
      <c r="H227" s="15"/>
      <c r="I227" s="16"/>
      <c r="J227" s="15"/>
      <c r="K227" s="16"/>
      <c r="L227" s="15"/>
      <c r="M227" s="16"/>
      <c r="N227" s="17"/>
      <c r="O227" s="16"/>
      <c r="P227" s="18">
        <f t="shared" si="3"/>
        <v>0</v>
      </c>
    </row>
    <row r="228" spans="2:16" x14ac:dyDescent="0.25">
      <c r="B228" s="44" t="s">
        <v>398</v>
      </c>
      <c r="C228" s="35" t="s">
        <v>399</v>
      </c>
      <c r="D228" s="45" t="s">
        <v>24</v>
      </c>
      <c r="E228" s="45" t="s">
        <v>16</v>
      </c>
      <c r="F228" s="46">
        <v>42723</v>
      </c>
      <c r="G228" s="47">
        <v>0.69</v>
      </c>
      <c r="H228" s="46">
        <v>42905</v>
      </c>
      <c r="I228" s="47">
        <v>0.83</v>
      </c>
      <c r="J228" s="46"/>
      <c r="K228" s="47"/>
      <c r="L228" s="46"/>
      <c r="M228" s="47"/>
      <c r="N228" s="48"/>
      <c r="O228" s="47"/>
      <c r="P228" s="49">
        <f t="shared" si="3"/>
        <v>1.52</v>
      </c>
    </row>
    <row r="229" spans="2:16" x14ac:dyDescent="0.25">
      <c r="B229" s="12" t="s">
        <v>400</v>
      </c>
      <c r="C229" s="13" t="s">
        <v>401</v>
      </c>
      <c r="D229" s="14" t="s">
        <v>24</v>
      </c>
      <c r="E229" s="14" t="s">
        <v>16</v>
      </c>
      <c r="F229" s="15">
        <v>42898</v>
      </c>
      <c r="G229" s="16">
        <v>1.26</v>
      </c>
      <c r="H229" s="15"/>
      <c r="I229" s="16"/>
      <c r="J229" s="15"/>
      <c r="K229" s="16"/>
      <c r="L229" s="15"/>
      <c r="M229" s="16"/>
      <c r="N229" s="17"/>
      <c r="O229" s="16"/>
      <c r="P229" s="18">
        <f t="shared" si="3"/>
        <v>1.26</v>
      </c>
    </row>
    <row r="230" spans="2:16" x14ac:dyDescent="0.25">
      <c r="B230" s="12" t="s">
        <v>402</v>
      </c>
      <c r="C230" s="13" t="s">
        <v>403</v>
      </c>
      <c r="D230" s="14" t="s">
        <v>15</v>
      </c>
      <c r="E230" s="14" t="s">
        <v>16</v>
      </c>
      <c r="F230" s="15">
        <v>42877</v>
      </c>
      <c r="G230" s="16">
        <v>0.46</v>
      </c>
      <c r="H230" s="15"/>
      <c r="I230" s="16"/>
      <c r="J230" s="15"/>
      <c r="K230" s="16"/>
      <c r="L230" s="15"/>
      <c r="M230" s="16"/>
      <c r="N230" s="17"/>
      <c r="O230" s="16"/>
      <c r="P230" s="18">
        <f t="shared" si="3"/>
        <v>0.46</v>
      </c>
    </row>
    <row r="231" spans="2:16" x14ac:dyDescent="0.25">
      <c r="B231" s="12" t="s">
        <v>404</v>
      </c>
      <c r="C231" s="13" t="s">
        <v>405</v>
      </c>
      <c r="D231" s="14" t="s">
        <v>15</v>
      </c>
      <c r="E231" s="14" t="s">
        <v>16</v>
      </c>
      <c r="F231" s="15">
        <v>42853</v>
      </c>
      <c r="G231" s="16">
        <v>2.2999999999999998</v>
      </c>
      <c r="H231" s="15"/>
      <c r="I231" s="16"/>
      <c r="J231" s="15"/>
      <c r="K231" s="16"/>
      <c r="L231" s="15"/>
      <c r="M231" s="16"/>
      <c r="N231" s="17"/>
      <c r="O231" s="16"/>
      <c r="P231" s="18">
        <f t="shared" si="3"/>
        <v>2.2999999999999998</v>
      </c>
    </row>
    <row r="232" spans="2:16" x14ac:dyDescent="0.25">
      <c r="B232" s="12" t="s">
        <v>406</v>
      </c>
      <c r="C232" s="13" t="s">
        <v>407</v>
      </c>
      <c r="D232" s="14" t="s">
        <v>24</v>
      </c>
      <c r="E232" s="14" t="s">
        <v>16</v>
      </c>
      <c r="F232" s="15">
        <v>42870</v>
      </c>
      <c r="G232" s="16">
        <v>2.96</v>
      </c>
      <c r="H232" s="15"/>
      <c r="I232" s="16"/>
      <c r="J232" s="15"/>
      <c r="K232" s="16"/>
      <c r="L232" s="15"/>
      <c r="M232" s="16"/>
      <c r="N232" s="17"/>
      <c r="O232" s="16"/>
      <c r="P232" s="18">
        <f t="shared" si="3"/>
        <v>2.96</v>
      </c>
    </row>
    <row r="233" spans="2:16" x14ac:dyDescent="0.25">
      <c r="B233" s="12" t="s">
        <v>408</v>
      </c>
      <c r="C233" s="13" t="s">
        <v>409</v>
      </c>
      <c r="D233" s="14" t="s">
        <v>15</v>
      </c>
      <c r="E233" s="14" t="s">
        <v>16</v>
      </c>
      <c r="F233" s="15">
        <v>42866</v>
      </c>
      <c r="G233" s="16">
        <v>1.25</v>
      </c>
      <c r="H233" s="15"/>
      <c r="I233" s="16"/>
      <c r="J233" s="15"/>
      <c r="K233" s="16"/>
      <c r="L233" s="15"/>
      <c r="M233" s="16"/>
      <c r="N233" s="17"/>
      <c r="O233" s="16"/>
      <c r="P233" s="18">
        <f t="shared" si="3"/>
        <v>1.25</v>
      </c>
    </row>
    <row r="234" spans="2:16" x14ac:dyDescent="0.25">
      <c r="B234" s="12" t="s">
        <v>410</v>
      </c>
      <c r="C234" s="13" t="s">
        <v>411</v>
      </c>
      <c r="D234" s="14" t="s">
        <v>15</v>
      </c>
      <c r="E234" s="14" t="s">
        <v>16</v>
      </c>
      <c r="F234" s="15">
        <v>42844</v>
      </c>
      <c r="G234" s="16">
        <v>0.21590000000000001</v>
      </c>
      <c r="H234" s="15"/>
      <c r="I234" s="16"/>
      <c r="J234" s="15"/>
      <c r="K234" s="16"/>
      <c r="L234" s="15"/>
      <c r="M234" s="16"/>
      <c r="N234" s="17"/>
      <c r="O234" s="16"/>
      <c r="P234" s="18">
        <f t="shared" si="3"/>
        <v>0.21590000000000001</v>
      </c>
    </row>
    <row r="235" spans="2:16" x14ac:dyDescent="0.25">
      <c r="B235" s="19" t="s">
        <v>559</v>
      </c>
      <c r="C235" s="20" t="s">
        <v>586</v>
      </c>
      <c r="D235" s="21" t="s">
        <v>55</v>
      </c>
      <c r="E235" s="22" t="s">
        <v>56</v>
      </c>
      <c r="F235" s="23">
        <v>42779</v>
      </c>
      <c r="G235" s="24">
        <v>0.5</v>
      </c>
      <c r="H235" s="23">
        <v>42885</v>
      </c>
      <c r="I235" s="24">
        <v>0.5</v>
      </c>
      <c r="J235" s="23">
        <v>42979</v>
      </c>
      <c r="K235" s="24">
        <v>0.5</v>
      </c>
      <c r="L235" s="23">
        <v>43074</v>
      </c>
      <c r="M235" s="24">
        <v>0.5</v>
      </c>
      <c r="N235" s="25"/>
      <c r="O235" s="24"/>
      <c r="P235" s="26">
        <f t="shared" si="3"/>
        <v>2</v>
      </c>
    </row>
    <row r="236" spans="2:16" x14ac:dyDescent="0.25">
      <c r="B236" s="12" t="s">
        <v>412</v>
      </c>
      <c r="C236" s="13" t="s">
        <v>413</v>
      </c>
      <c r="D236" s="14" t="s">
        <v>24</v>
      </c>
      <c r="E236" s="14" t="s">
        <v>16</v>
      </c>
      <c r="F236" s="15">
        <v>42863</v>
      </c>
      <c r="G236" s="16">
        <v>2.04</v>
      </c>
      <c r="H236" s="15"/>
      <c r="I236" s="16"/>
      <c r="J236" s="15"/>
      <c r="K236" s="16"/>
      <c r="L236" s="15"/>
      <c r="M236" s="16"/>
      <c r="N236" s="17"/>
      <c r="O236" s="16"/>
      <c r="P236" s="18">
        <f t="shared" si="3"/>
        <v>2.04</v>
      </c>
    </row>
    <row r="237" spans="2:16" x14ac:dyDescent="0.25">
      <c r="B237" s="12" t="s">
        <v>414</v>
      </c>
      <c r="C237" s="13" t="s">
        <v>415</v>
      </c>
      <c r="D237" s="14" t="s">
        <v>24</v>
      </c>
      <c r="E237" s="14" t="s">
        <v>16</v>
      </c>
      <c r="F237" s="15">
        <v>42857</v>
      </c>
      <c r="G237" s="16">
        <v>1.65</v>
      </c>
      <c r="H237" s="15"/>
      <c r="I237" s="16"/>
      <c r="J237" s="15"/>
      <c r="K237" s="16"/>
      <c r="L237" s="15"/>
      <c r="M237" s="16"/>
      <c r="N237" s="17"/>
      <c r="O237" s="16"/>
      <c r="P237" s="18">
        <f t="shared" si="3"/>
        <v>1.65</v>
      </c>
    </row>
    <row r="238" spans="2:16" x14ac:dyDescent="0.25">
      <c r="B238" s="12" t="s">
        <v>416</v>
      </c>
      <c r="C238" s="13" t="s">
        <v>417</v>
      </c>
      <c r="D238" s="14" t="s">
        <v>237</v>
      </c>
      <c r="E238" s="14" t="s">
        <v>16</v>
      </c>
      <c r="F238" s="15">
        <v>42891</v>
      </c>
      <c r="G238" s="16">
        <v>0.45</v>
      </c>
      <c r="H238" s="15"/>
      <c r="I238" s="16"/>
      <c r="J238" s="15"/>
      <c r="K238" s="16"/>
      <c r="L238" s="15"/>
      <c r="M238" s="16"/>
      <c r="N238" s="17"/>
      <c r="O238" s="16"/>
      <c r="P238" s="18">
        <f t="shared" si="3"/>
        <v>0.45</v>
      </c>
    </row>
    <row r="239" spans="2:16" x14ac:dyDescent="0.25">
      <c r="B239" s="12" t="s">
        <v>418</v>
      </c>
      <c r="C239" s="13" t="s">
        <v>419</v>
      </c>
      <c r="D239" s="14" t="s">
        <v>15</v>
      </c>
      <c r="E239" s="14" t="s">
        <v>77</v>
      </c>
      <c r="F239" s="15">
        <v>42901</v>
      </c>
      <c r="G239" s="16">
        <v>48.9</v>
      </c>
      <c r="H239" s="15"/>
      <c r="I239" s="16">
        <v>34.630000000000003</v>
      </c>
      <c r="J239" s="15"/>
      <c r="K239" s="16"/>
      <c r="L239" s="15"/>
      <c r="M239" s="16"/>
      <c r="N239" s="17"/>
      <c r="O239" s="16"/>
      <c r="P239" s="18">
        <f t="shared" si="3"/>
        <v>83.53</v>
      </c>
    </row>
    <row r="240" spans="2:16" x14ac:dyDescent="0.25">
      <c r="B240" s="12" t="s">
        <v>420</v>
      </c>
      <c r="C240" s="13" t="s">
        <v>421</v>
      </c>
      <c r="D240" s="14" t="s">
        <v>15</v>
      </c>
      <c r="E240" s="14" t="s">
        <v>21</v>
      </c>
      <c r="F240" s="15">
        <v>42817</v>
      </c>
      <c r="G240" s="16">
        <v>70</v>
      </c>
      <c r="H240" s="15"/>
      <c r="I240" s="16"/>
      <c r="J240" s="15"/>
      <c r="K240" s="16"/>
      <c r="L240" s="15"/>
      <c r="M240" s="16"/>
      <c r="N240" s="17"/>
      <c r="O240" s="16"/>
      <c r="P240" s="18">
        <f t="shared" si="3"/>
        <v>70</v>
      </c>
    </row>
    <row r="241" spans="2:16" x14ac:dyDescent="0.25">
      <c r="B241" s="12" t="s">
        <v>422</v>
      </c>
      <c r="C241" s="13" t="s">
        <v>423</v>
      </c>
      <c r="D241" s="14" t="s">
        <v>15</v>
      </c>
      <c r="E241" s="14" t="s">
        <v>77</v>
      </c>
      <c r="F241" s="15">
        <v>42803</v>
      </c>
      <c r="G241" s="16">
        <v>20.64</v>
      </c>
      <c r="H241" s="15">
        <v>42985</v>
      </c>
      <c r="I241" s="16">
        <v>3.85</v>
      </c>
      <c r="J241" s="15"/>
      <c r="K241" s="16"/>
      <c r="L241" s="15"/>
      <c r="M241" s="16"/>
      <c r="N241" s="17"/>
      <c r="O241" s="16"/>
      <c r="P241" s="18">
        <f t="shared" si="3"/>
        <v>24.490000000000002</v>
      </c>
    </row>
    <row r="242" spans="2:16" x14ac:dyDescent="0.25">
      <c r="B242" s="12" t="s">
        <v>424</v>
      </c>
      <c r="C242" s="13" t="s">
        <v>425</v>
      </c>
      <c r="D242" s="14" t="s">
        <v>15</v>
      </c>
      <c r="E242" s="14" t="s">
        <v>16</v>
      </c>
      <c r="F242" s="15">
        <v>42768</v>
      </c>
      <c r="G242" s="16">
        <v>3.6</v>
      </c>
      <c r="H242" s="15"/>
      <c r="I242" s="16"/>
      <c r="J242" s="15"/>
      <c r="K242" s="16"/>
      <c r="L242" s="15"/>
      <c r="M242" s="63"/>
      <c r="N242" s="17"/>
      <c r="O242" s="16"/>
      <c r="P242" s="18">
        <f t="shared" si="3"/>
        <v>3.6</v>
      </c>
    </row>
    <row r="243" spans="2:16" x14ac:dyDescent="0.25">
      <c r="B243" s="12" t="s">
        <v>426</v>
      </c>
      <c r="C243" s="13" t="s">
        <v>427</v>
      </c>
      <c r="D243" s="14" t="s">
        <v>15</v>
      </c>
      <c r="E243" s="14" t="s">
        <v>200</v>
      </c>
      <c r="F243" s="15">
        <v>42823</v>
      </c>
      <c r="G243" s="16">
        <v>5.5</v>
      </c>
      <c r="H243" s="15"/>
      <c r="I243" s="16"/>
      <c r="J243" s="15"/>
      <c r="K243" s="16"/>
      <c r="L243" s="15"/>
      <c r="M243" s="63"/>
      <c r="N243" s="17"/>
      <c r="O243" s="16"/>
      <c r="P243" s="18">
        <f t="shared" si="3"/>
        <v>5.5</v>
      </c>
    </row>
    <row r="244" spans="2:16" x14ac:dyDescent="0.25">
      <c r="B244" s="12" t="s">
        <v>428</v>
      </c>
      <c r="C244" s="13" t="s">
        <v>429</v>
      </c>
      <c r="D244" s="14" t="s">
        <v>15</v>
      </c>
      <c r="E244" s="14" t="s">
        <v>77</v>
      </c>
      <c r="F244" s="15"/>
      <c r="G244" s="16"/>
      <c r="H244" s="15"/>
      <c r="I244" s="16"/>
      <c r="J244" s="15"/>
      <c r="K244" s="16"/>
      <c r="L244" s="15"/>
      <c r="M244" s="63"/>
      <c r="N244" s="17"/>
      <c r="O244" s="16"/>
      <c r="P244" s="18">
        <f t="shared" si="3"/>
        <v>0</v>
      </c>
    </row>
    <row r="245" spans="2:16" ht="15.75" thickBot="1" x14ac:dyDescent="0.3">
      <c r="B245" s="31" t="s">
        <v>430</v>
      </c>
      <c r="C245" s="32" t="s">
        <v>431</v>
      </c>
      <c r="D245" s="39" t="s">
        <v>15</v>
      </c>
      <c r="E245" s="39" t="s">
        <v>16</v>
      </c>
      <c r="F245" s="40">
        <v>42877</v>
      </c>
      <c r="G245" s="41">
        <v>0.21</v>
      </c>
      <c r="H245" s="40"/>
      <c r="I245" s="41"/>
      <c r="J245" s="40"/>
      <c r="K245" s="41"/>
      <c r="L245" s="40"/>
      <c r="M245" s="79"/>
      <c r="N245" s="42"/>
      <c r="O245" s="41"/>
      <c r="P245" s="43">
        <f t="shared" si="3"/>
        <v>0.21</v>
      </c>
    </row>
    <row r="246" spans="2:16" x14ac:dyDescent="0.25">
      <c r="B246" s="50" t="s">
        <v>432</v>
      </c>
      <c r="C246" s="51" t="s">
        <v>433</v>
      </c>
      <c r="D246" s="52" t="s">
        <v>15</v>
      </c>
      <c r="E246" s="52" t="s">
        <v>16</v>
      </c>
      <c r="F246" s="53">
        <v>42877</v>
      </c>
      <c r="G246" s="54">
        <v>0.2</v>
      </c>
      <c r="H246" s="53"/>
      <c r="I246" s="54"/>
      <c r="J246" s="53"/>
      <c r="K246" s="54"/>
      <c r="L246" s="53"/>
      <c r="M246" s="81"/>
      <c r="N246" s="55"/>
      <c r="O246" s="54"/>
      <c r="P246" s="70">
        <f>0.2*(G246+I246+K246+M246+O246)</f>
        <v>4.0000000000000008E-2</v>
      </c>
    </row>
    <row r="247" spans="2:16" ht="15.75" thickBot="1" x14ac:dyDescent="0.3">
      <c r="B247" s="56" t="s">
        <v>434</v>
      </c>
      <c r="C247" s="57" t="s">
        <v>433</v>
      </c>
      <c r="D247" s="58" t="s">
        <v>15</v>
      </c>
      <c r="E247" s="58" t="s">
        <v>16</v>
      </c>
      <c r="F247" s="59">
        <v>42877</v>
      </c>
      <c r="G247" s="60">
        <v>0.21</v>
      </c>
      <c r="H247" s="59"/>
      <c r="I247" s="60"/>
      <c r="J247" s="59"/>
      <c r="K247" s="60"/>
      <c r="L247" s="59"/>
      <c r="M247" s="82"/>
      <c r="N247" s="61"/>
      <c r="O247" s="60"/>
      <c r="P247" s="62">
        <f>(G247+I247+K247+M247+O247)+P246</f>
        <v>0.25</v>
      </c>
    </row>
    <row r="248" spans="2:16" x14ac:dyDescent="0.25">
      <c r="B248" s="44" t="s">
        <v>435</v>
      </c>
      <c r="C248" s="35" t="s">
        <v>436</v>
      </c>
      <c r="D248" s="45" t="s">
        <v>24</v>
      </c>
      <c r="E248" s="45" t="s">
        <v>16</v>
      </c>
      <c r="F248" s="46">
        <v>42886</v>
      </c>
      <c r="G248" s="47">
        <v>2.2000000000000002</v>
      </c>
      <c r="H248" s="46"/>
      <c r="I248" s="47"/>
      <c r="J248" s="46"/>
      <c r="K248" s="47"/>
      <c r="L248" s="46"/>
      <c r="M248" s="80"/>
      <c r="N248" s="48"/>
      <c r="O248" s="47"/>
      <c r="P248" s="49">
        <f t="shared" si="3"/>
        <v>2.2000000000000002</v>
      </c>
    </row>
    <row r="249" spans="2:16" x14ac:dyDescent="0.25">
      <c r="B249" s="12" t="s">
        <v>437</v>
      </c>
      <c r="C249" s="13" t="s">
        <v>438</v>
      </c>
      <c r="D249" s="14" t="s">
        <v>24</v>
      </c>
      <c r="E249" s="14" t="s">
        <v>16</v>
      </c>
      <c r="F249" s="15">
        <v>42772</v>
      </c>
      <c r="G249" s="16">
        <v>2.4</v>
      </c>
      <c r="H249" s="15"/>
      <c r="I249" s="16"/>
      <c r="J249" s="15"/>
      <c r="K249" s="16"/>
      <c r="L249" s="15"/>
      <c r="M249" s="63"/>
      <c r="N249" s="17"/>
      <c r="O249" s="16"/>
      <c r="P249" s="18">
        <f t="shared" si="3"/>
        <v>2.4</v>
      </c>
    </row>
    <row r="250" spans="2:16" x14ac:dyDescent="0.25">
      <c r="B250" s="12" t="s">
        <v>439</v>
      </c>
      <c r="C250" s="13" t="s">
        <v>440</v>
      </c>
      <c r="D250" s="14" t="s">
        <v>27</v>
      </c>
      <c r="E250" s="14" t="s">
        <v>16</v>
      </c>
      <c r="F250" s="15">
        <v>42751</v>
      </c>
      <c r="G250" s="16">
        <v>1.32</v>
      </c>
      <c r="H250" s="15">
        <v>42867</v>
      </c>
      <c r="I250" s="16">
        <v>2.13</v>
      </c>
      <c r="J250" s="15"/>
      <c r="K250" s="16"/>
      <c r="L250" s="15"/>
      <c r="M250" s="63"/>
      <c r="N250" s="17"/>
      <c r="O250" s="16"/>
      <c r="P250" s="18">
        <f t="shared" si="3"/>
        <v>3.45</v>
      </c>
    </row>
    <row r="251" spans="2:16" x14ac:dyDescent="0.25">
      <c r="B251" s="12" t="s">
        <v>441</v>
      </c>
      <c r="C251" s="13" t="s">
        <v>442</v>
      </c>
      <c r="D251" s="14" t="s">
        <v>27</v>
      </c>
      <c r="E251" s="14" t="s">
        <v>16</v>
      </c>
      <c r="F251" s="15">
        <v>42751</v>
      </c>
      <c r="G251" s="16">
        <v>1.32</v>
      </c>
      <c r="H251" s="15">
        <v>42867</v>
      </c>
      <c r="I251" s="16">
        <v>2.13</v>
      </c>
      <c r="J251" s="15"/>
      <c r="K251" s="16"/>
      <c r="L251" s="15"/>
      <c r="M251" s="63"/>
      <c r="N251" s="17"/>
      <c r="O251" s="16"/>
      <c r="P251" s="18">
        <f t="shared" si="3"/>
        <v>3.45</v>
      </c>
    </row>
    <row r="252" spans="2:16" x14ac:dyDescent="0.25">
      <c r="B252" s="19" t="s">
        <v>443</v>
      </c>
      <c r="C252" s="20" t="s">
        <v>444</v>
      </c>
      <c r="D252" s="21" t="s">
        <v>55</v>
      </c>
      <c r="E252" s="22" t="s">
        <v>56</v>
      </c>
      <c r="F252" s="23">
        <v>42782</v>
      </c>
      <c r="G252" s="24">
        <v>0.56000000000000005</v>
      </c>
      <c r="H252" s="23">
        <v>42866</v>
      </c>
      <c r="I252" s="24">
        <v>0.57999999999999996</v>
      </c>
      <c r="J252" s="23">
        <v>42964</v>
      </c>
      <c r="K252" s="24">
        <v>0.57999999999999996</v>
      </c>
      <c r="L252" s="23">
        <v>43056</v>
      </c>
      <c r="M252" s="77">
        <v>0.57999999999999996</v>
      </c>
      <c r="N252" s="25"/>
      <c r="O252" s="24"/>
      <c r="P252" s="26">
        <f t="shared" si="3"/>
        <v>2.3000000000000003</v>
      </c>
    </row>
    <row r="253" spans="2:16" x14ac:dyDescent="0.25">
      <c r="B253" s="12" t="s">
        <v>445</v>
      </c>
      <c r="C253" s="13" t="s">
        <v>446</v>
      </c>
      <c r="D253" s="14" t="s">
        <v>15</v>
      </c>
      <c r="E253" s="14" t="s">
        <v>77</v>
      </c>
      <c r="F253" s="15">
        <v>42754</v>
      </c>
      <c r="G253" s="16">
        <v>27.4</v>
      </c>
      <c r="H253" s="15">
        <v>42943</v>
      </c>
      <c r="I253" s="16">
        <v>63.9</v>
      </c>
      <c r="J253" s="15"/>
      <c r="K253" s="16"/>
      <c r="L253" s="15"/>
      <c r="M253" s="63"/>
      <c r="N253" s="17"/>
      <c r="O253" s="16"/>
      <c r="P253" s="18">
        <f t="shared" si="3"/>
        <v>91.3</v>
      </c>
    </row>
    <row r="254" spans="2:16" x14ac:dyDescent="0.25">
      <c r="B254" s="12" t="s">
        <v>447</v>
      </c>
      <c r="C254" s="13" t="s">
        <v>448</v>
      </c>
      <c r="D254" s="14" t="s">
        <v>15</v>
      </c>
      <c r="E254" s="14" t="s">
        <v>56</v>
      </c>
      <c r="F254" s="15"/>
      <c r="G254" s="16"/>
      <c r="H254" s="15"/>
      <c r="I254" s="16"/>
      <c r="J254" s="15"/>
      <c r="K254" s="16"/>
      <c r="L254" s="15"/>
      <c r="M254" s="63"/>
      <c r="N254" s="17"/>
      <c r="O254" s="16"/>
      <c r="P254" s="18">
        <f t="shared" si="3"/>
        <v>0</v>
      </c>
    </row>
    <row r="255" spans="2:16" x14ac:dyDescent="0.25">
      <c r="B255" s="19" t="s">
        <v>571</v>
      </c>
      <c r="C255" s="20" t="s">
        <v>598</v>
      </c>
      <c r="D255" s="21" t="s">
        <v>55</v>
      </c>
      <c r="E255" s="22" t="s">
        <v>56</v>
      </c>
      <c r="F255" s="23">
        <v>42773</v>
      </c>
      <c r="G255" s="24">
        <v>0.25</v>
      </c>
      <c r="H255" s="23">
        <v>42864</v>
      </c>
      <c r="I255" s="24">
        <v>0.25</v>
      </c>
      <c r="J255" s="23">
        <v>42955</v>
      </c>
      <c r="K255" s="24">
        <v>0.25</v>
      </c>
      <c r="L255" s="23" t="s">
        <v>615</v>
      </c>
      <c r="M255" s="77">
        <v>0.3</v>
      </c>
      <c r="N255" s="25"/>
      <c r="O255" s="24"/>
      <c r="P255" s="26">
        <f t="shared" ref="P255:P286" si="4">G255+I255+K255+M255+O255</f>
        <v>1.05</v>
      </c>
    </row>
    <row r="256" spans="2:16" x14ac:dyDescent="0.25">
      <c r="B256" s="12" t="s">
        <v>449</v>
      </c>
      <c r="C256" s="13" t="s">
        <v>450</v>
      </c>
      <c r="D256" s="14" t="s">
        <v>15</v>
      </c>
      <c r="E256" s="14" t="s">
        <v>56</v>
      </c>
      <c r="F256" s="15">
        <v>42788</v>
      </c>
      <c r="G256" s="16">
        <v>0.22009999999999999</v>
      </c>
      <c r="H256" s="15">
        <v>42867</v>
      </c>
      <c r="I256" s="16">
        <v>0.22009999999999999</v>
      </c>
      <c r="J256" s="15">
        <v>42956</v>
      </c>
      <c r="K256" s="16">
        <v>0.22009999999999999</v>
      </c>
      <c r="L256" s="15">
        <v>43040</v>
      </c>
      <c r="M256" s="63">
        <v>0.22009999999999999</v>
      </c>
      <c r="N256" s="17"/>
      <c r="O256" s="16"/>
      <c r="P256" s="18">
        <f t="shared" si="4"/>
        <v>0.88039999999999996</v>
      </c>
    </row>
    <row r="257" spans="2:16" x14ac:dyDescent="0.25">
      <c r="B257" s="12" t="s">
        <v>451</v>
      </c>
      <c r="C257" s="13" t="s">
        <v>452</v>
      </c>
      <c r="D257" s="14" t="s">
        <v>15</v>
      </c>
      <c r="E257" s="14" t="s">
        <v>56</v>
      </c>
      <c r="F257" s="15">
        <v>42723</v>
      </c>
      <c r="G257" s="16">
        <v>0.06</v>
      </c>
      <c r="H257" s="15">
        <v>42814</v>
      </c>
      <c r="I257" s="16">
        <v>0.06</v>
      </c>
      <c r="J257" s="15">
        <v>42912</v>
      </c>
      <c r="K257" s="16">
        <v>0.06</v>
      </c>
      <c r="L257" s="15">
        <v>42996</v>
      </c>
      <c r="M257" s="16">
        <v>0.06</v>
      </c>
      <c r="N257" s="17"/>
      <c r="O257" s="16"/>
      <c r="P257" s="18">
        <f t="shared" si="4"/>
        <v>0.24</v>
      </c>
    </row>
    <row r="258" spans="2:16" x14ac:dyDescent="0.25">
      <c r="B258" s="12" t="s">
        <v>453</v>
      </c>
      <c r="C258" s="13" t="s">
        <v>454</v>
      </c>
      <c r="D258" s="14" t="s">
        <v>24</v>
      </c>
      <c r="E258" s="14" t="s">
        <v>16</v>
      </c>
      <c r="F258" s="15">
        <v>42870</v>
      </c>
      <c r="G258" s="16">
        <v>0.65</v>
      </c>
      <c r="H258" s="15"/>
      <c r="I258" s="16"/>
      <c r="J258" s="15"/>
      <c r="K258" s="16"/>
      <c r="L258" s="15"/>
      <c r="M258" s="63"/>
      <c r="N258" s="17"/>
      <c r="O258" s="16"/>
      <c r="P258" s="18">
        <f t="shared" si="4"/>
        <v>0.65</v>
      </c>
    </row>
    <row r="259" spans="2:16" x14ac:dyDescent="0.25">
      <c r="B259" s="12" t="s">
        <v>455</v>
      </c>
      <c r="C259" s="13" t="s">
        <v>456</v>
      </c>
      <c r="D259" s="14" t="s">
        <v>15</v>
      </c>
      <c r="E259" s="14" t="s">
        <v>200</v>
      </c>
      <c r="F259" s="15">
        <v>42824</v>
      </c>
      <c r="G259" s="16">
        <v>5</v>
      </c>
      <c r="H259" s="15"/>
      <c r="I259" s="16"/>
      <c r="J259" s="15"/>
      <c r="K259" s="16"/>
      <c r="L259" s="15"/>
      <c r="M259" s="63"/>
      <c r="N259" s="17"/>
      <c r="O259" s="16"/>
      <c r="P259" s="18">
        <f t="shared" si="4"/>
        <v>5</v>
      </c>
    </row>
    <row r="260" spans="2:16" x14ac:dyDescent="0.25">
      <c r="B260" s="12" t="s">
        <v>457</v>
      </c>
      <c r="C260" s="13" t="s">
        <v>458</v>
      </c>
      <c r="D260" s="14" t="s">
        <v>15</v>
      </c>
      <c r="E260" s="14" t="s">
        <v>200</v>
      </c>
      <c r="F260" s="15">
        <v>42825</v>
      </c>
      <c r="G260" s="16">
        <v>13.2</v>
      </c>
      <c r="H260" s="15"/>
      <c r="I260" s="16"/>
      <c r="J260" s="15"/>
      <c r="K260" s="16"/>
      <c r="L260" s="15"/>
      <c r="M260" s="63"/>
      <c r="N260" s="17"/>
      <c r="O260" s="16"/>
      <c r="P260" s="18">
        <f t="shared" si="4"/>
        <v>13.2</v>
      </c>
    </row>
    <row r="261" spans="2:16" x14ac:dyDescent="0.25">
      <c r="B261" s="12" t="s">
        <v>459</v>
      </c>
      <c r="C261" s="13" t="s">
        <v>460</v>
      </c>
      <c r="D261" s="14" t="s">
        <v>15</v>
      </c>
      <c r="E261" s="14" t="s">
        <v>200</v>
      </c>
      <c r="F261" s="29">
        <v>42860</v>
      </c>
      <c r="G261" s="30">
        <v>7.3029000000000002</v>
      </c>
      <c r="H261" s="15"/>
      <c r="I261" s="16"/>
      <c r="J261" s="15"/>
      <c r="K261" s="16"/>
      <c r="L261" s="15"/>
      <c r="M261" s="63"/>
      <c r="N261" s="17"/>
      <c r="O261" s="16"/>
      <c r="P261" s="18">
        <f t="shared" si="4"/>
        <v>7.3029000000000002</v>
      </c>
    </row>
    <row r="262" spans="2:16" x14ac:dyDescent="0.25">
      <c r="B262" s="12" t="s">
        <v>461</v>
      </c>
      <c r="C262" s="13" t="s">
        <v>462</v>
      </c>
      <c r="D262" s="14" t="s">
        <v>15</v>
      </c>
      <c r="E262" s="14" t="s">
        <v>21</v>
      </c>
      <c r="F262" s="15">
        <v>42850</v>
      </c>
      <c r="G262" s="16">
        <v>4.8499999999999996</v>
      </c>
      <c r="H262" s="15"/>
      <c r="I262" s="16"/>
      <c r="J262" s="15"/>
      <c r="K262" s="16"/>
      <c r="L262" s="15"/>
      <c r="M262" s="63"/>
      <c r="N262" s="17"/>
      <c r="O262" s="16"/>
      <c r="P262" s="18">
        <f t="shared" si="4"/>
        <v>4.8499999999999996</v>
      </c>
    </row>
    <row r="263" spans="2:16" x14ac:dyDescent="0.25">
      <c r="B263" s="12" t="s">
        <v>463</v>
      </c>
      <c r="C263" s="13" t="s">
        <v>464</v>
      </c>
      <c r="D263" s="14" t="s">
        <v>15</v>
      </c>
      <c r="E263" s="14" t="s">
        <v>21</v>
      </c>
      <c r="F263" s="15">
        <v>42830</v>
      </c>
      <c r="G263" s="16">
        <v>22</v>
      </c>
      <c r="H263" s="15"/>
      <c r="I263" s="16"/>
      <c r="J263" s="15"/>
      <c r="K263" s="16"/>
      <c r="L263" s="15"/>
      <c r="M263" s="63"/>
      <c r="N263" s="17"/>
      <c r="O263" s="16"/>
      <c r="P263" s="18">
        <f t="shared" si="4"/>
        <v>22</v>
      </c>
    </row>
    <row r="264" spans="2:16" x14ac:dyDescent="0.25">
      <c r="B264" s="12" t="s">
        <v>465</v>
      </c>
      <c r="C264" s="13" t="s">
        <v>466</v>
      </c>
      <c r="D264" s="14" t="s">
        <v>24</v>
      </c>
      <c r="E264" s="14" t="s">
        <v>16</v>
      </c>
      <c r="F264" s="15">
        <v>43059</v>
      </c>
      <c r="G264" s="16">
        <v>0.110216193302246</v>
      </c>
      <c r="H264" s="15"/>
      <c r="I264" s="16"/>
      <c r="J264" s="15"/>
      <c r="K264" s="16"/>
      <c r="L264" s="15"/>
      <c r="M264" s="63"/>
      <c r="N264" s="17"/>
      <c r="O264" s="16"/>
      <c r="P264" s="18">
        <f t="shared" si="4"/>
        <v>0.110216193302246</v>
      </c>
    </row>
    <row r="265" spans="2:16" x14ac:dyDescent="0.25">
      <c r="B265" s="12" t="s">
        <v>467</v>
      </c>
      <c r="C265" s="13" t="s">
        <v>468</v>
      </c>
      <c r="D265" s="14" t="s">
        <v>15</v>
      </c>
      <c r="E265" s="14" t="s">
        <v>200</v>
      </c>
      <c r="F265" s="15">
        <v>42865</v>
      </c>
      <c r="G265" s="16">
        <v>5.23</v>
      </c>
      <c r="H265" s="15"/>
      <c r="I265" s="16"/>
      <c r="J265" s="15"/>
      <c r="K265" s="16"/>
      <c r="L265" s="15"/>
      <c r="M265" s="63"/>
      <c r="N265" s="17"/>
      <c r="O265" s="16"/>
      <c r="P265" s="18">
        <f t="shared" si="4"/>
        <v>5.23</v>
      </c>
    </row>
    <row r="266" spans="2:16" x14ac:dyDescent="0.25">
      <c r="B266" s="12" t="s">
        <v>469</v>
      </c>
      <c r="C266" s="13" t="s">
        <v>470</v>
      </c>
      <c r="D266" s="14" t="s">
        <v>15</v>
      </c>
      <c r="E266" s="14" t="s">
        <v>16</v>
      </c>
      <c r="F266" s="15"/>
      <c r="G266" s="16"/>
      <c r="H266" s="15"/>
      <c r="I266" s="16"/>
      <c r="J266" s="15"/>
      <c r="K266" s="16"/>
      <c r="L266" s="15"/>
      <c r="M266" s="63"/>
      <c r="N266" s="17"/>
      <c r="O266" s="16"/>
      <c r="P266" s="18">
        <f t="shared" si="4"/>
        <v>0</v>
      </c>
    </row>
    <row r="267" spans="2:16" x14ac:dyDescent="0.25">
      <c r="B267" s="12" t="s">
        <v>471</v>
      </c>
      <c r="C267" s="13" t="s">
        <v>472</v>
      </c>
      <c r="D267" s="14" t="s">
        <v>15</v>
      </c>
      <c r="E267" s="14" t="s">
        <v>16</v>
      </c>
      <c r="F267" s="15">
        <v>42900</v>
      </c>
      <c r="G267" s="16">
        <v>0.2</v>
      </c>
      <c r="H267" s="15">
        <v>43081</v>
      </c>
      <c r="I267" s="16">
        <v>0.2</v>
      </c>
      <c r="J267" s="15"/>
      <c r="K267" s="16"/>
      <c r="L267" s="15"/>
      <c r="M267" s="63"/>
      <c r="N267" s="17"/>
      <c r="O267" s="16"/>
      <c r="P267" s="18">
        <f t="shared" si="4"/>
        <v>0.4</v>
      </c>
    </row>
    <row r="268" spans="2:16" x14ac:dyDescent="0.25">
      <c r="B268" s="12" t="s">
        <v>473</v>
      </c>
      <c r="C268" s="13" t="s">
        <v>474</v>
      </c>
      <c r="D268" s="14" t="s">
        <v>15</v>
      </c>
      <c r="E268" s="14" t="s">
        <v>475</v>
      </c>
      <c r="F268" s="15">
        <v>42866</v>
      </c>
      <c r="G268" s="16">
        <v>4.3</v>
      </c>
      <c r="H268" s="15">
        <v>43035</v>
      </c>
      <c r="I268" s="16">
        <v>3.5</v>
      </c>
      <c r="J268" s="15"/>
      <c r="K268" s="16"/>
      <c r="L268" s="15"/>
      <c r="M268" s="63"/>
      <c r="N268" s="17"/>
      <c r="O268" s="16"/>
      <c r="P268" s="18">
        <f t="shared" si="4"/>
        <v>7.8</v>
      </c>
    </row>
    <row r="269" spans="2:16" x14ac:dyDescent="0.25">
      <c r="B269" s="12" t="s">
        <v>476</v>
      </c>
      <c r="C269" s="13" t="s">
        <v>477</v>
      </c>
      <c r="D269" s="14" t="s">
        <v>15</v>
      </c>
      <c r="E269" s="14" t="s">
        <v>200</v>
      </c>
      <c r="F269" s="15">
        <v>42831</v>
      </c>
      <c r="G269" s="16">
        <v>1</v>
      </c>
      <c r="H269" s="15">
        <v>43031</v>
      </c>
      <c r="I269" s="16">
        <v>1</v>
      </c>
      <c r="J269" s="15"/>
      <c r="K269" s="16"/>
      <c r="L269" s="15"/>
      <c r="M269" s="63"/>
      <c r="N269" s="17"/>
      <c r="O269" s="16"/>
      <c r="P269" s="18">
        <f t="shared" si="4"/>
        <v>2</v>
      </c>
    </row>
    <row r="270" spans="2:16" x14ac:dyDescent="0.25">
      <c r="B270" s="12" t="s">
        <v>478</v>
      </c>
      <c r="C270" s="13" t="s">
        <v>479</v>
      </c>
      <c r="D270" s="14" t="s">
        <v>15</v>
      </c>
      <c r="E270" s="14" t="s">
        <v>16</v>
      </c>
      <c r="F270" s="15">
        <v>42905</v>
      </c>
      <c r="G270" s="16">
        <v>0.13389999999999999</v>
      </c>
      <c r="H270" s="15">
        <v>43059</v>
      </c>
      <c r="I270" s="16">
        <v>7.4262999999999996E-2</v>
      </c>
      <c r="J270" s="15"/>
      <c r="K270" s="16"/>
      <c r="L270" s="15"/>
      <c r="M270" s="63"/>
      <c r="N270" s="17"/>
      <c r="O270" s="16"/>
      <c r="P270" s="18">
        <f t="shared" si="4"/>
        <v>0.20816299999999999</v>
      </c>
    </row>
    <row r="271" spans="2:16" x14ac:dyDescent="0.25">
      <c r="B271" s="19" t="s">
        <v>576</v>
      </c>
      <c r="C271" s="20" t="s">
        <v>603</v>
      </c>
      <c r="D271" s="21" t="s">
        <v>55</v>
      </c>
      <c r="E271" s="22" t="s">
        <v>56</v>
      </c>
      <c r="F271" s="23">
        <v>42762</v>
      </c>
      <c r="G271" s="24">
        <v>0.5</v>
      </c>
      <c r="H271" s="23">
        <v>42852</v>
      </c>
      <c r="I271" s="24">
        <v>0.5</v>
      </c>
      <c r="J271" s="23">
        <v>42943</v>
      </c>
      <c r="K271" s="24">
        <v>0.5</v>
      </c>
      <c r="L271" s="23">
        <v>43038</v>
      </c>
      <c r="M271" s="77">
        <v>0.62</v>
      </c>
      <c r="N271" s="25"/>
      <c r="O271" s="24"/>
      <c r="P271" s="26">
        <f t="shared" si="4"/>
        <v>2.12</v>
      </c>
    </row>
    <row r="272" spans="2:16" x14ac:dyDescent="0.25">
      <c r="B272" s="12" t="s">
        <v>480</v>
      </c>
      <c r="C272" s="13" t="s">
        <v>481</v>
      </c>
      <c r="D272" s="14" t="s">
        <v>237</v>
      </c>
      <c r="E272" s="14" t="s">
        <v>16</v>
      </c>
      <c r="F272" s="29">
        <v>42888</v>
      </c>
      <c r="G272" s="69">
        <v>0.2329</v>
      </c>
      <c r="H272" s="15"/>
      <c r="I272" s="16"/>
      <c r="J272" s="15"/>
      <c r="K272" s="16"/>
      <c r="L272" s="15"/>
      <c r="M272" s="63"/>
      <c r="N272" s="17"/>
      <c r="O272" s="16"/>
      <c r="P272" s="18">
        <f t="shared" si="4"/>
        <v>0.2329</v>
      </c>
    </row>
    <row r="273" spans="2:16" x14ac:dyDescent="0.25">
      <c r="B273" s="12" t="s">
        <v>482</v>
      </c>
      <c r="C273" s="13" t="s">
        <v>483</v>
      </c>
      <c r="D273" s="14" t="s">
        <v>15</v>
      </c>
      <c r="E273" s="14" t="s">
        <v>21</v>
      </c>
      <c r="F273" s="15">
        <v>42881</v>
      </c>
      <c r="G273" s="16">
        <v>6.75</v>
      </c>
      <c r="H273" s="15"/>
      <c r="I273" s="16"/>
      <c r="J273" s="15"/>
      <c r="K273" s="16"/>
      <c r="L273" s="15"/>
      <c r="M273" s="63"/>
      <c r="N273" s="17"/>
      <c r="O273" s="16"/>
      <c r="P273" s="18">
        <f t="shared" si="4"/>
        <v>6.75</v>
      </c>
    </row>
    <row r="274" spans="2:16" x14ac:dyDescent="0.25">
      <c r="B274" s="12" t="s">
        <v>484</v>
      </c>
      <c r="C274" s="13" t="s">
        <v>485</v>
      </c>
      <c r="D274" s="14" t="s">
        <v>15</v>
      </c>
      <c r="E274" s="14" t="s">
        <v>16</v>
      </c>
      <c r="F274" s="15">
        <v>42765</v>
      </c>
      <c r="G274" s="16">
        <v>0.15</v>
      </c>
      <c r="H274" s="15"/>
      <c r="I274" s="16"/>
      <c r="J274" s="15"/>
      <c r="K274" s="16"/>
      <c r="L274" s="15"/>
      <c r="M274" s="63"/>
      <c r="N274" s="17"/>
      <c r="O274" s="16"/>
      <c r="P274" s="18">
        <f t="shared" si="4"/>
        <v>0.15</v>
      </c>
    </row>
    <row r="275" spans="2:16" x14ac:dyDescent="0.25">
      <c r="B275" s="12" t="s">
        <v>486</v>
      </c>
      <c r="C275" s="13" t="s">
        <v>487</v>
      </c>
      <c r="D275" s="14" t="s">
        <v>15</v>
      </c>
      <c r="E275" s="14" t="s">
        <v>16</v>
      </c>
      <c r="F275" s="15">
        <v>42877</v>
      </c>
      <c r="G275" s="16">
        <v>1.7</v>
      </c>
      <c r="H275" s="15"/>
      <c r="I275" s="16"/>
      <c r="J275" s="15"/>
      <c r="K275" s="16"/>
      <c r="L275" s="15"/>
      <c r="M275" s="63"/>
      <c r="N275" s="17"/>
      <c r="O275" s="16"/>
      <c r="P275" s="18">
        <f t="shared" si="4"/>
        <v>1.7</v>
      </c>
    </row>
    <row r="276" spans="2:16" x14ac:dyDescent="0.25">
      <c r="B276" s="12" t="s">
        <v>488</v>
      </c>
      <c r="C276" s="13" t="s">
        <v>489</v>
      </c>
      <c r="D276" s="14" t="s">
        <v>24</v>
      </c>
      <c r="E276" s="14" t="s">
        <v>16</v>
      </c>
      <c r="F276" s="15">
        <v>42725</v>
      </c>
      <c r="G276" s="16">
        <v>0.61</v>
      </c>
      <c r="H276" s="15">
        <v>42814</v>
      </c>
      <c r="I276" s="16">
        <v>0.61</v>
      </c>
      <c r="J276" s="15">
        <v>42891</v>
      </c>
      <c r="K276" s="16">
        <v>0.62</v>
      </c>
      <c r="L276" s="15">
        <v>43003</v>
      </c>
      <c r="M276" s="63">
        <v>0.62</v>
      </c>
      <c r="N276" s="17"/>
      <c r="O276" s="16"/>
      <c r="P276" s="18">
        <f t="shared" si="4"/>
        <v>2.46</v>
      </c>
    </row>
    <row r="277" spans="2:16" x14ac:dyDescent="0.25">
      <c r="B277" s="12" t="s">
        <v>490</v>
      </c>
      <c r="C277" s="13" t="s">
        <v>491</v>
      </c>
      <c r="D277" s="14" t="s">
        <v>15</v>
      </c>
      <c r="E277" s="14" t="s">
        <v>16</v>
      </c>
      <c r="F277" s="29">
        <v>42877</v>
      </c>
      <c r="G277" s="69">
        <v>0.1048</v>
      </c>
      <c r="H277" s="15"/>
      <c r="I277" s="16"/>
      <c r="J277" s="15"/>
      <c r="K277" s="16"/>
      <c r="L277" s="15"/>
      <c r="M277" s="63"/>
      <c r="N277" s="17"/>
      <c r="O277" s="16"/>
      <c r="P277" s="18">
        <f t="shared" si="4"/>
        <v>0.1048</v>
      </c>
    </row>
    <row r="278" spans="2:16" x14ac:dyDescent="0.25">
      <c r="B278" s="12" t="s">
        <v>492</v>
      </c>
      <c r="C278" s="13" t="s">
        <v>493</v>
      </c>
      <c r="D278" s="14" t="s">
        <v>15</v>
      </c>
      <c r="E278" s="14" t="s">
        <v>21</v>
      </c>
      <c r="F278" s="15">
        <v>42863</v>
      </c>
      <c r="G278" s="16">
        <v>0.6</v>
      </c>
      <c r="H278" s="15"/>
      <c r="I278" s="16"/>
      <c r="J278" s="15"/>
      <c r="K278" s="16"/>
      <c r="L278" s="15"/>
      <c r="M278" s="63"/>
      <c r="N278" s="17"/>
      <c r="O278" s="16"/>
      <c r="P278" s="18">
        <f t="shared" si="4"/>
        <v>0.6</v>
      </c>
    </row>
    <row r="279" spans="2:16" x14ac:dyDescent="0.25">
      <c r="B279" s="12" t="s">
        <v>494</v>
      </c>
      <c r="C279" s="13" t="s">
        <v>495</v>
      </c>
      <c r="D279" s="14" t="s">
        <v>27</v>
      </c>
      <c r="E279" s="14" t="s">
        <v>16</v>
      </c>
      <c r="F279" s="15">
        <v>42853</v>
      </c>
      <c r="G279" s="16">
        <v>1.1499999999999999</v>
      </c>
      <c r="H279" s="15"/>
      <c r="I279" s="16"/>
      <c r="J279" s="15"/>
      <c r="K279" s="16"/>
      <c r="L279" s="15"/>
      <c r="M279" s="63"/>
      <c r="N279" s="17"/>
      <c r="O279" s="16"/>
      <c r="P279" s="18">
        <f t="shared" si="4"/>
        <v>1.1499999999999999</v>
      </c>
    </row>
    <row r="280" spans="2:16" x14ac:dyDescent="0.25">
      <c r="B280" s="12" t="s">
        <v>496</v>
      </c>
      <c r="C280" s="13" t="s">
        <v>497</v>
      </c>
      <c r="D280" s="14" t="s">
        <v>27</v>
      </c>
      <c r="E280" s="14" t="s">
        <v>16</v>
      </c>
      <c r="F280" s="29">
        <v>42852</v>
      </c>
      <c r="G280" s="69">
        <v>0.35</v>
      </c>
      <c r="H280" s="29">
        <v>42972</v>
      </c>
      <c r="I280" s="71">
        <v>0.32500000000000001</v>
      </c>
      <c r="J280" s="15"/>
      <c r="K280" s="16"/>
      <c r="L280" s="15"/>
      <c r="M280" s="63"/>
      <c r="N280" s="17"/>
      <c r="O280" s="16"/>
      <c r="P280" s="18">
        <f t="shared" si="4"/>
        <v>0.67500000000000004</v>
      </c>
    </row>
    <row r="281" spans="2:16" x14ac:dyDescent="0.25">
      <c r="B281" s="12" t="s">
        <v>498</v>
      </c>
      <c r="C281" s="13" t="s">
        <v>499</v>
      </c>
      <c r="D281" s="14" t="s">
        <v>15</v>
      </c>
      <c r="E281" s="14" t="s">
        <v>16</v>
      </c>
      <c r="F281" s="15">
        <v>42821</v>
      </c>
      <c r="G281" s="16">
        <v>5.0999999999999996</v>
      </c>
      <c r="H281" s="15">
        <v>42920</v>
      </c>
      <c r="I281" s="16">
        <v>5.0999999999999996</v>
      </c>
      <c r="J281" s="15"/>
      <c r="K281" s="16"/>
      <c r="L281" s="15"/>
      <c r="M281" s="63"/>
      <c r="N281" s="17"/>
      <c r="O281" s="16"/>
      <c r="P281" s="18">
        <f t="shared" si="4"/>
        <v>10.199999999999999</v>
      </c>
    </row>
    <row r="282" spans="2:16" x14ac:dyDescent="0.25">
      <c r="B282" s="12" t="s">
        <v>500</v>
      </c>
      <c r="C282" s="13" t="s">
        <v>501</v>
      </c>
      <c r="D282" s="14" t="s">
        <v>15</v>
      </c>
      <c r="E282" s="14" t="s">
        <v>16</v>
      </c>
      <c r="F282" s="15"/>
      <c r="G282" s="16"/>
      <c r="H282" s="15"/>
      <c r="I282" s="16"/>
      <c r="J282" s="15"/>
      <c r="K282" s="16"/>
      <c r="L282" s="15"/>
      <c r="M282" s="63"/>
      <c r="N282" s="17"/>
      <c r="O282" s="16"/>
      <c r="P282" s="18">
        <f t="shared" si="4"/>
        <v>0</v>
      </c>
    </row>
    <row r="283" spans="2:16" x14ac:dyDescent="0.25">
      <c r="B283" s="12" t="s">
        <v>502</v>
      </c>
      <c r="C283" s="13" t="s">
        <v>503</v>
      </c>
      <c r="D283" s="14" t="s">
        <v>15</v>
      </c>
      <c r="E283" s="14" t="s">
        <v>16</v>
      </c>
      <c r="F283" s="15"/>
      <c r="G283" s="16"/>
      <c r="H283" s="15"/>
      <c r="I283" s="16"/>
      <c r="J283" s="15"/>
      <c r="K283" s="16"/>
      <c r="L283" s="15"/>
      <c r="M283" s="63"/>
      <c r="N283" s="17"/>
      <c r="O283" s="16"/>
      <c r="P283" s="18">
        <f t="shared" si="4"/>
        <v>0</v>
      </c>
    </row>
    <row r="284" spans="2:16" x14ac:dyDescent="0.25">
      <c r="B284" s="12" t="s">
        <v>504</v>
      </c>
      <c r="C284" s="13" t="s">
        <v>505</v>
      </c>
      <c r="D284" s="14" t="s">
        <v>15</v>
      </c>
      <c r="E284" s="14" t="s">
        <v>16</v>
      </c>
      <c r="F284" s="15">
        <v>42775</v>
      </c>
      <c r="G284" s="16">
        <v>0.3201</v>
      </c>
      <c r="H284" s="15">
        <v>42859</v>
      </c>
      <c r="I284" s="16">
        <v>0.35849999999999999</v>
      </c>
      <c r="J284" s="15">
        <v>42950</v>
      </c>
      <c r="K284" s="16">
        <v>0.35849999999999999</v>
      </c>
      <c r="L284" s="15">
        <v>43041</v>
      </c>
      <c r="M284" s="63">
        <v>0.35849999999999999</v>
      </c>
      <c r="N284" s="17"/>
      <c r="O284" s="16"/>
      <c r="P284" s="18">
        <f t="shared" si="4"/>
        <v>1.3956</v>
      </c>
    </row>
    <row r="285" spans="2:16" x14ac:dyDescent="0.25">
      <c r="B285" s="12" t="s">
        <v>506</v>
      </c>
      <c r="C285" s="13" t="s">
        <v>507</v>
      </c>
      <c r="D285" s="14" t="s">
        <v>15</v>
      </c>
      <c r="E285" s="14" t="s">
        <v>77</v>
      </c>
      <c r="F285" s="15">
        <v>42775</v>
      </c>
      <c r="G285" s="16">
        <v>27.68</v>
      </c>
      <c r="H285" s="15">
        <v>42859</v>
      </c>
      <c r="I285" s="16">
        <v>30.21</v>
      </c>
      <c r="J285" s="15">
        <v>42950</v>
      </c>
      <c r="K285" s="16">
        <v>31.83</v>
      </c>
      <c r="L285" s="15">
        <v>43041</v>
      </c>
      <c r="M285" s="63">
        <v>31.99</v>
      </c>
      <c r="N285" s="17"/>
      <c r="O285" s="16"/>
      <c r="P285" s="18">
        <f t="shared" si="4"/>
        <v>121.71</v>
      </c>
    </row>
    <row r="286" spans="2:16" x14ac:dyDescent="0.25">
      <c r="B286" s="19" t="s">
        <v>569</v>
      </c>
      <c r="C286" s="20" t="s">
        <v>596</v>
      </c>
      <c r="D286" s="21" t="s">
        <v>55</v>
      </c>
      <c r="E286" s="22" t="s">
        <v>56</v>
      </c>
      <c r="F286" s="23">
        <v>42790</v>
      </c>
      <c r="G286" s="24">
        <v>0.60499999999999998</v>
      </c>
      <c r="H286" s="23">
        <v>42881</v>
      </c>
      <c r="I286" s="24">
        <v>0.60499999999999998</v>
      </c>
      <c r="J286" s="23">
        <v>42976</v>
      </c>
      <c r="K286" s="24">
        <v>0.60499999999999998</v>
      </c>
      <c r="L286" s="23">
        <v>43068</v>
      </c>
      <c r="M286" s="77">
        <v>0.66500000000000004</v>
      </c>
      <c r="N286" s="25"/>
      <c r="O286" s="24"/>
      <c r="P286" s="26">
        <f t="shared" si="4"/>
        <v>2.48</v>
      </c>
    </row>
    <row r="287" spans="2:16" x14ac:dyDescent="0.25">
      <c r="B287" s="12" t="s">
        <v>508</v>
      </c>
      <c r="C287" s="13" t="s">
        <v>509</v>
      </c>
      <c r="D287" s="14" t="s">
        <v>15</v>
      </c>
      <c r="E287" s="14" t="s">
        <v>16</v>
      </c>
      <c r="F287" s="15">
        <v>42877</v>
      </c>
      <c r="G287" s="16">
        <v>0.125</v>
      </c>
      <c r="H287" s="15"/>
      <c r="I287" s="16"/>
      <c r="J287" s="15"/>
      <c r="K287" s="16"/>
      <c r="L287" s="15"/>
      <c r="M287" s="63"/>
      <c r="N287" s="17"/>
      <c r="O287" s="16"/>
      <c r="P287" s="18">
        <f t="shared" ref="P287:P311" si="5">G287+I287+K287+M287+O287</f>
        <v>0.125</v>
      </c>
    </row>
    <row r="288" spans="2:16" x14ac:dyDescent="0.25">
      <c r="B288" s="19" t="s">
        <v>573</v>
      </c>
      <c r="C288" s="20" t="s">
        <v>600</v>
      </c>
      <c r="D288" s="21" t="s">
        <v>55</v>
      </c>
      <c r="E288" s="22" t="s">
        <v>56</v>
      </c>
      <c r="F288" s="23">
        <v>42781</v>
      </c>
      <c r="G288" s="24">
        <v>0.66</v>
      </c>
      <c r="H288" s="23">
        <v>42872</v>
      </c>
      <c r="I288" s="24">
        <v>0.66</v>
      </c>
      <c r="J288" s="23">
        <v>42963</v>
      </c>
      <c r="K288" s="24">
        <v>0.7</v>
      </c>
      <c r="L288" s="23">
        <v>43055</v>
      </c>
      <c r="M288" s="77">
        <v>0.7</v>
      </c>
      <c r="N288" s="25"/>
      <c r="O288" s="24"/>
      <c r="P288" s="26">
        <f t="shared" si="5"/>
        <v>2.7199999999999998</v>
      </c>
    </row>
    <row r="289" spans="2:16" x14ac:dyDescent="0.25">
      <c r="B289" s="12" t="s">
        <v>510</v>
      </c>
      <c r="C289" s="13" t="s">
        <v>511</v>
      </c>
      <c r="D289" s="14" t="s">
        <v>15</v>
      </c>
      <c r="E289" s="14" t="s">
        <v>77</v>
      </c>
      <c r="F289" s="15">
        <v>42908</v>
      </c>
      <c r="G289" s="16">
        <v>25.92</v>
      </c>
      <c r="H289" s="15"/>
      <c r="I289" s="16"/>
      <c r="J289" s="15"/>
      <c r="K289" s="16"/>
      <c r="L289" s="15"/>
      <c r="M289" s="63"/>
      <c r="N289" s="17"/>
      <c r="O289" s="16"/>
      <c r="P289" s="18">
        <f t="shared" si="5"/>
        <v>25.92</v>
      </c>
    </row>
    <row r="290" spans="2:16" x14ac:dyDescent="0.25">
      <c r="B290" s="19" t="s">
        <v>552</v>
      </c>
      <c r="C290" s="20" t="s">
        <v>579</v>
      </c>
      <c r="D290" s="21" t="s">
        <v>55</v>
      </c>
      <c r="E290" s="22" t="s">
        <v>56</v>
      </c>
      <c r="F290" s="23">
        <v>42802</v>
      </c>
      <c r="G290" s="24">
        <v>0.625</v>
      </c>
      <c r="H290" s="23">
        <v>42901</v>
      </c>
      <c r="I290" s="24">
        <v>0.75</v>
      </c>
      <c r="J290" s="23">
        <v>42985</v>
      </c>
      <c r="K290" s="24">
        <v>0.75</v>
      </c>
      <c r="L290" s="23">
        <v>43069</v>
      </c>
      <c r="M290" s="77">
        <v>0.75</v>
      </c>
      <c r="N290" s="25"/>
      <c r="O290" s="24"/>
      <c r="P290" s="26">
        <f t="shared" si="5"/>
        <v>2.875</v>
      </c>
    </row>
    <row r="291" spans="2:16" x14ac:dyDescent="0.25">
      <c r="B291" s="19" t="s">
        <v>574</v>
      </c>
      <c r="C291" s="20" t="s">
        <v>601</v>
      </c>
      <c r="D291" s="21" t="s">
        <v>55</v>
      </c>
      <c r="E291" s="22" t="s">
        <v>56</v>
      </c>
      <c r="F291" s="23">
        <v>42823</v>
      </c>
      <c r="G291" s="24">
        <v>0.28000000000000003</v>
      </c>
      <c r="H291" s="23">
        <v>42914</v>
      </c>
      <c r="I291" s="24">
        <v>0.28000000000000003</v>
      </c>
      <c r="J291" s="23">
        <v>43006</v>
      </c>
      <c r="K291" s="24">
        <v>0.3</v>
      </c>
      <c r="L291" s="23">
        <v>43097</v>
      </c>
      <c r="M291" s="77">
        <v>0.3</v>
      </c>
      <c r="N291" s="25"/>
      <c r="O291" s="24"/>
      <c r="P291" s="26">
        <f t="shared" si="5"/>
        <v>1.1600000000000001</v>
      </c>
    </row>
    <row r="292" spans="2:16" x14ac:dyDescent="0.25">
      <c r="B292" s="12" t="s">
        <v>512</v>
      </c>
      <c r="C292" s="13" t="s">
        <v>513</v>
      </c>
      <c r="D292" s="14" t="s">
        <v>24</v>
      </c>
      <c r="E292" s="14" t="s">
        <v>16</v>
      </c>
      <c r="F292" s="15">
        <v>42885</v>
      </c>
      <c r="G292" s="16">
        <v>1.25</v>
      </c>
      <c r="H292" s="15"/>
      <c r="I292" s="16"/>
      <c r="J292" s="15"/>
      <c r="K292" s="16"/>
      <c r="L292" s="15"/>
      <c r="M292" s="63"/>
      <c r="N292" s="17"/>
      <c r="O292" s="16"/>
      <c r="P292" s="18">
        <f t="shared" si="5"/>
        <v>1.25</v>
      </c>
    </row>
    <row r="293" spans="2:16" x14ac:dyDescent="0.25">
      <c r="B293" s="12" t="s">
        <v>514</v>
      </c>
      <c r="C293" s="13" t="s">
        <v>515</v>
      </c>
      <c r="D293" s="14" t="s">
        <v>24</v>
      </c>
      <c r="E293" s="14" t="s">
        <v>16</v>
      </c>
      <c r="F293" s="15"/>
      <c r="G293" s="16"/>
      <c r="H293" s="15"/>
      <c r="I293" s="16"/>
      <c r="J293" s="15"/>
      <c r="K293" s="16"/>
      <c r="L293" s="15"/>
      <c r="M293" s="63"/>
      <c r="N293" s="17"/>
      <c r="O293" s="16"/>
      <c r="P293" s="18">
        <f t="shared" si="5"/>
        <v>0</v>
      </c>
    </row>
    <row r="294" spans="2:16" x14ac:dyDescent="0.25">
      <c r="B294" s="12" t="s">
        <v>516</v>
      </c>
      <c r="C294" s="13" t="s">
        <v>517</v>
      </c>
      <c r="D294" s="14" t="s">
        <v>24</v>
      </c>
      <c r="E294" s="14" t="s">
        <v>16</v>
      </c>
      <c r="F294" s="15">
        <v>42849</v>
      </c>
      <c r="G294" s="16">
        <v>0.8</v>
      </c>
      <c r="H294" s="15"/>
      <c r="I294" s="16"/>
      <c r="J294" s="15"/>
      <c r="K294" s="16"/>
      <c r="L294" s="15"/>
      <c r="M294" s="63"/>
      <c r="N294" s="17"/>
      <c r="O294" s="16"/>
      <c r="P294" s="18">
        <f t="shared" si="5"/>
        <v>0.8</v>
      </c>
    </row>
    <row r="295" spans="2:16" x14ac:dyDescent="0.25">
      <c r="B295" s="19" t="s">
        <v>518</v>
      </c>
      <c r="C295" s="20" t="s">
        <v>519</v>
      </c>
      <c r="D295" s="21" t="s">
        <v>55</v>
      </c>
      <c r="E295" s="22" t="s">
        <v>56</v>
      </c>
      <c r="F295" s="23">
        <v>42831</v>
      </c>
      <c r="G295" s="24">
        <v>0.57750000000000001</v>
      </c>
      <c r="H295" s="23">
        <v>42922</v>
      </c>
      <c r="I295" s="24">
        <v>0.57750000000000001</v>
      </c>
      <c r="J295" s="23">
        <v>43014</v>
      </c>
      <c r="K295" s="24">
        <v>0.59</v>
      </c>
      <c r="L295" s="23">
        <v>43109</v>
      </c>
      <c r="M295" s="77">
        <v>0.59</v>
      </c>
      <c r="N295" s="25"/>
      <c r="O295" s="24"/>
      <c r="P295" s="26">
        <f t="shared" si="5"/>
        <v>2.335</v>
      </c>
    </row>
    <row r="296" spans="2:16" x14ac:dyDescent="0.25">
      <c r="B296" s="12" t="s">
        <v>520</v>
      </c>
      <c r="C296" s="13" t="s">
        <v>521</v>
      </c>
      <c r="D296" s="14" t="s">
        <v>24</v>
      </c>
      <c r="E296" s="14" t="s">
        <v>16</v>
      </c>
      <c r="F296" s="15">
        <v>42850</v>
      </c>
      <c r="G296" s="16">
        <v>1.47</v>
      </c>
      <c r="H296" s="15">
        <v>43046</v>
      </c>
      <c r="I296" s="16">
        <v>0.69</v>
      </c>
      <c r="J296" s="15"/>
      <c r="K296" s="16"/>
      <c r="L296" s="15"/>
      <c r="M296" s="63"/>
      <c r="N296" s="17"/>
      <c r="O296" s="16"/>
      <c r="P296" s="18">
        <f t="shared" si="5"/>
        <v>2.16</v>
      </c>
    </row>
    <row r="297" spans="2:16" x14ac:dyDescent="0.25">
      <c r="B297" s="19" t="s">
        <v>522</v>
      </c>
      <c r="C297" s="20" t="s">
        <v>523</v>
      </c>
      <c r="D297" s="21" t="s">
        <v>55</v>
      </c>
      <c r="E297" s="22" t="s">
        <v>56</v>
      </c>
      <c r="F297" s="23">
        <v>42781</v>
      </c>
      <c r="G297" s="24">
        <v>0.16500000000000001</v>
      </c>
      <c r="H297" s="23">
        <v>42872</v>
      </c>
      <c r="I297" s="24">
        <v>0.16500000000000001</v>
      </c>
      <c r="J297" s="23">
        <v>42963</v>
      </c>
      <c r="K297" s="24">
        <v>0.16500000000000001</v>
      </c>
      <c r="L297" s="23">
        <v>43055</v>
      </c>
      <c r="M297" s="77">
        <v>0.19500000000000001</v>
      </c>
      <c r="N297" s="25"/>
      <c r="O297" s="24"/>
      <c r="P297" s="26">
        <f t="shared" si="5"/>
        <v>0.69</v>
      </c>
    </row>
    <row r="298" spans="2:16" x14ac:dyDescent="0.25">
      <c r="B298" s="12" t="s">
        <v>524</v>
      </c>
      <c r="C298" s="13" t="s">
        <v>525</v>
      </c>
      <c r="D298" s="14" t="s">
        <v>24</v>
      </c>
      <c r="E298" s="14" t="s">
        <v>16</v>
      </c>
      <c r="F298" s="15">
        <v>42857</v>
      </c>
      <c r="G298" s="16">
        <v>0.4</v>
      </c>
      <c r="H298" s="15"/>
      <c r="I298" s="16"/>
      <c r="J298" s="15"/>
      <c r="K298" s="16"/>
      <c r="L298" s="15"/>
      <c r="M298" s="63"/>
      <c r="N298" s="17"/>
      <c r="O298" s="16"/>
      <c r="P298" s="18">
        <f t="shared" si="5"/>
        <v>0.4</v>
      </c>
    </row>
    <row r="299" spans="2:16" x14ac:dyDescent="0.25">
      <c r="B299" s="12" t="s">
        <v>526</v>
      </c>
      <c r="C299" s="13" t="s">
        <v>527</v>
      </c>
      <c r="D299" s="14" t="s">
        <v>15</v>
      </c>
      <c r="E299" s="14" t="s">
        <v>77</v>
      </c>
      <c r="F299" s="15">
        <v>42894</v>
      </c>
      <c r="G299" s="16">
        <v>8.9499999999999993</v>
      </c>
      <c r="H299" s="15">
        <v>43062</v>
      </c>
      <c r="I299" s="16">
        <v>4.2984039999999997</v>
      </c>
      <c r="J299" s="15"/>
      <c r="K299" s="16"/>
      <c r="L299" s="15"/>
      <c r="M299" s="63"/>
      <c r="N299" s="17"/>
      <c r="O299" s="16"/>
      <c r="P299" s="18">
        <f t="shared" si="5"/>
        <v>13.248403999999999</v>
      </c>
    </row>
    <row r="300" spans="2:16" x14ac:dyDescent="0.25">
      <c r="B300" s="12" t="s">
        <v>528</v>
      </c>
      <c r="C300" s="13" t="s">
        <v>529</v>
      </c>
      <c r="D300" s="14" t="s">
        <v>15</v>
      </c>
      <c r="E300" s="14" t="s">
        <v>16</v>
      </c>
      <c r="F300" s="15">
        <v>42866</v>
      </c>
      <c r="G300" s="16">
        <v>2.06</v>
      </c>
      <c r="H300" s="15"/>
      <c r="I300" s="16"/>
      <c r="J300" s="15"/>
      <c r="K300" s="16"/>
      <c r="L300" s="15"/>
      <c r="M300" s="63"/>
      <c r="N300" s="17"/>
      <c r="O300" s="16"/>
      <c r="P300" s="18">
        <f t="shared" si="5"/>
        <v>2.06</v>
      </c>
    </row>
    <row r="301" spans="2:16" x14ac:dyDescent="0.25">
      <c r="B301" s="12" t="s">
        <v>530</v>
      </c>
      <c r="C301" s="13" t="s">
        <v>531</v>
      </c>
      <c r="D301" s="14" t="s">
        <v>15</v>
      </c>
      <c r="E301" s="14" t="s">
        <v>200</v>
      </c>
      <c r="F301" s="15">
        <v>42830</v>
      </c>
      <c r="G301" s="16">
        <v>3.25</v>
      </c>
      <c r="H301" s="15"/>
      <c r="I301" s="16"/>
      <c r="J301" s="15"/>
      <c r="K301" s="16"/>
      <c r="L301" s="15"/>
      <c r="M301" s="63"/>
      <c r="N301" s="17"/>
      <c r="O301" s="16"/>
      <c r="P301" s="18">
        <f t="shared" si="5"/>
        <v>3.25</v>
      </c>
    </row>
    <row r="302" spans="2:16" x14ac:dyDescent="0.25">
      <c r="B302" s="12" t="s">
        <v>532</v>
      </c>
      <c r="C302" s="13" t="s">
        <v>533</v>
      </c>
      <c r="D302" s="14" t="s">
        <v>15</v>
      </c>
      <c r="E302" s="14" t="s">
        <v>16</v>
      </c>
      <c r="F302" s="15">
        <v>42872</v>
      </c>
      <c r="G302" s="16">
        <v>1.1200000000000001</v>
      </c>
      <c r="H302" s="15"/>
      <c r="I302" s="16"/>
      <c r="J302" s="15"/>
      <c r="K302" s="16"/>
      <c r="L302" s="15"/>
      <c r="M302" s="63"/>
      <c r="N302" s="17"/>
      <c r="O302" s="16"/>
      <c r="P302" s="18">
        <f t="shared" si="5"/>
        <v>1.1200000000000001</v>
      </c>
    </row>
    <row r="303" spans="2:16" x14ac:dyDescent="0.25">
      <c r="B303" s="12" t="s">
        <v>534</v>
      </c>
      <c r="C303" s="13" t="s">
        <v>535</v>
      </c>
      <c r="D303" s="14" t="s">
        <v>15</v>
      </c>
      <c r="E303" s="14" t="s">
        <v>16</v>
      </c>
      <c r="F303" s="15">
        <v>42846</v>
      </c>
      <c r="G303" s="16">
        <v>1.05</v>
      </c>
      <c r="H303" s="15"/>
      <c r="I303" s="16"/>
      <c r="J303" s="15"/>
      <c r="K303" s="16"/>
      <c r="L303" s="15"/>
      <c r="M303" s="63"/>
      <c r="N303" s="17"/>
      <c r="O303" s="16"/>
      <c r="P303" s="18">
        <f t="shared" si="5"/>
        <v>1.05</v>
      </c>
    </row>
    <row r="304" spans="2:16" x14ac:dyDescent="0.25">
      <c r="B304" s="19" t="s">
        <v>560</v>
      </c>
      <c r="C304" s="20" t="s">
        <v>587</v>
      </c>
      <c r="D304" s="21" t="s">
        <v>55</v>
      </c>
      <c r="E304" s="22" t="s">
        <v>56</v>
      </c>
      <c r="F304" s="23">
        <v>42802</v>
      </c>
      <c r="G304" s="24">
        <v>0.51</v>
      </c>
      <c r="H304" s="23">
        <v>42865</v>
      </c>
      <c r="I304" s="24">
        <v>0.51</v>
      </c>
      <c r="J304" s="23">
        <v>42956</v>
      </c>
      <c r="K304" s="24">
        <v>0.51</v>
      </c>
      <c r="L304" s="23">
        <v>43076</v>
      </c>
      <c r="M304" s="77">
        <v>0.51</v>
      </c>
      <c r="N304" s="25"/>
      <c r="O304" s="24"/>
      <c r="P304" s="26">
        <f t="shared" si="5"/>
        <v>2.04</v>
      </c>
    </row>
    <row r="305" spans="2:16" x14ac:dyDescent="0.25">
      <c r="B305" s="19" t="s">
        <v>536</v>
      </c>
      <c r="C305" s="20" t="s">
        <v>537</v>
      </c>
      <c r="D305" s="21" t="s">
        <v>55</v>
      </c>
      <c r="E305" s="22" t="s">
        <v>56</v>
      </c>
      <c r="F305" s="23">
        <v>42922</v>
      </c>
      <c r="G305" s="24">
        <v>0.78</v>
      </c>
      <c r="H305" s="23">
        <v>43077</v>
      </c>
      <c r="I305" s="24">
        <v>0.84</v>
      </c>
      <c r="J305" s="23"/>
      <c r="K305" s="24"/>
      <c r="L305" s="23"/>
      <c r="M305" s="77"/>
      <c r="N305" s="25"/>
      <c r="O305" s="24"/>
      <c r="P305" s="26">
        <f t="shared" si="5"/>
        <v>1.62</v>
      </c>
    </row>
    <row r="306" spans="2:16" x14ac:dyDescent="0.25">
      <c r="B306" s="19" t="s">
        <v>538</v>
      </c>
      <c r="C306" s="20" t="s">
        <v>539</v>
      </c>
      <c r="D306" s="21" t="s">
        <v>55</v>
      </c>
      <c r="E306" s="22" t="s">
        <v>56</v>
      </c>
      <c r="F306" s="23">
        <v>42767</v>
      </c>
      <c r="G306" s="24">
        <v>0.38</v>
      </c>
      <c r="H306" s="23">
        <v>42858</v>
      </c>
      <c r="I306" s="24">
        <v>0.38</v>
      </c>
      <c r="J306" s="23">
        <v>42949</v>
      </c>
      <c r="K306" s="24">
        <v>0.39</v>
      </c>
      <c r="L306" s="23">
        <v>43041</v>
      </c>
      <c r="M306" s="24">
        <v>0.39</v>
      </c>
      <c r="N306" s="25"/>
      <c r="O306" s="24"/>
      <c r="P306" s="26">
        <f t="shared" si="5"/>
        <v>1.54</v>
      </c>
    </row>
    <row r="307" spans="2:16" x14ac:dyDescent="0.25">
      <c r="B307" s="12" t="s">
        <v>540</v>
      </c>
      <c r="C307" s="13" t="s">
        <v>541</v>
      </c>
      <c r="D307" s="14" t="s">
        <v>15</v>
      </c>
      <c r="E307" s="14" t="s">
        <v>77</v>
      </c>
      <c r="F307" s="15">
        <v>42880</v>
      </c>
      <c r="G307" s="16">
        <v>3.85</v>
      </c>
      <c r="H307" s="15">
        <v>43006</v>
      </c>
      <c r="I307" s="16">
        <v>1.66</v>
      </c>
      <c r="J307" s="15"/>
      <c r="K307" s="16"/>
      <c r="L307" s="15"/>
      <c r="M307" s="63"/>
      <c r="N307" s="17"/>
      <c r="O307" s="16"/>
      <c r="P307" s="18">
        <f t="shared" si="5"/>
        <v>5.51</v>
      </c>
    </row>
    <row r="308" spans="2:16" x14ac:dyDescent="0.25">
      <c r="B308" s="12" t="s">
        <v>542</v>
      </c>
      <c r="C308" s="13" t="s">
        <v>543</v>
      </c>
      <c r="D308" s="14" t="s">
        <v>15</v>
      </c>
      <c r="E308" s="14" t="s">
        <v>16</v>
      </c>
      <c r="F308" s="15">
        <v>42849</v>
      </c>
      <c r="G308" s="16">
        <v>0.6</v>
      </c>
      <c r="H308" s="15">
        <v>42975</v>
      </c>
      <c r="I308" s="16">
        <v>0.2</v>
      </c>
      <c r="J308" s="15"/>
      <c r="K308" s="16"/>
      <c r="L308" s="15"/>
      <c r="M308" s="63"/>
      <c r="N308" s="17"/>
      <c r="O308" s="16"/>
      <c r="P308" s="18">
        <f t="shared" si="5"/>
        <v>0.8</v>
      </c>
    </row>
    <row r="309" spans="2:16" x14ac:dyDescent="0.25">
      <c r="B309" s="12" t="s">
        <v>544</v>
      </c>
      <c r="C309" s="13" t="s">
        <v>545</v>
      </c>
      <c r="D309" s="14" t="s">
        <v>15</v>
      </c>
      <c r="E309" s="14" t="s">
        <v>77</v>
      </c>
      <c r="F309" s="15">
        <v>42894</v>
      </c>
      <c r="G309" s="16">
        <v>37.049999999999997</v>
      </c>
      <c r="H309" s="15">
        <v>43013</v>
      </c>
      <c r="I309" s="16">
        <v>22.7</v>
      </c>
      <c r="J309" s="15"/>
      <c r="K309" s="16"/>
      <c r="L309" s="15"/>
      <c r="M309" s="63"/>
      <c r="N309" s="17"/>
      <c r="O309" s="16"/>
      <c r="P309" s="18">
        <f t="shared" si="5"/>
        <v>59.75</v>
      </c>
    </row>
    <row r="310" spans="2:16" x14ac:dyDescent="0.25">
      <c r="B310" s="12" t="s">
        <v>546</v>
      </c>
      <c r="C310" s="13" t="s">
        <v>547</v>
      </c>
      <c r="D310" s="14" t="s">
        <v>24</v>
      </c>
      <c r="E310" s="14" t="s">
        <v>16</v>
      </c>
      <c r="F310" s="15">
        <v>42760</v>
      </c>
      <c r="G310" s="16">
        <v>0.32</v>
      </c>
      <c r="H310" s="15"/>
      <c r="I310" s="16"/>
      <c r="J310" s="15"/>
      <c r="K310" s="16"/>
      <c r="L310" s="15"/>
      <c r="M310" s="63"/>
      <c r="N310" s="17"/>
      <c r="O310" s="16"/>
      <c r="P310" s="18">
        <f t="shared" si="5"/>
        <v>0.32</v>
      </c>
    </row>
    <row r="311" spans="2:16" x14ac:dyDescent="0.25">
      <c r="B311" s="12" t="s">
        <v>548</v>
      </c>
      <c r="C311" s="13" t="s">
        <v>549</v>
      </c>
      <c r="D311" s="14" t="s">
        <v>15</v>
      </c>
      <c r="E311" s="14" t="s">
        <v>21</v>
      </c>
      <c r="F311" s="15">
        <v>42825</v>
      </c>
      <c r="G311" s="16">
        <v>17</v>
      </c>
      <c r="H311" s="15"/>
      <c r="I311" s="16"/>
      <c r="J311" s="15"/>
      <c r="K311" s="16"/>
      <c r="L311" s="15"/>
      <c r="M311" s="63"/>
      <c r="N311" s="17"/>
      <c r="O311" s="16"/>
      <c r="P311" s="18">
        <f t="shared" si="5"/>
        <v>17</v>
      </c>
    </row>
  </sheetData>
  <sheetProtection algorithmName="SHA-512" hashValue="+MHm3lpCJ2EQMc34nLyz302gX/fACcsyCW1a6mLlmyjtNmoMObA883OsixWgeowlQlWeK0BZ9iqSjhETKEJieg==" saltValue="IvMj16Q3ZU4f7xUXFdml+A==" spinCount="100000" sheet="1" objects="1" scenarios="1"/>
  <mergeCells count="2">
    <mergeCell ref="L9:M9"/>
    <mergeCell ref="F11:O11"/>
  </mergeCells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6"/>
  <dimension ref="A1:Q263"/>
  <sheetViews>
    <sheetView showGridLines="0" topLeftCell="A135" zoomScale="85" zoomScaleNormal="85" workbookViewId="0">
      <selection activeCell="B162" sqref="B162"/>
    </sheetView>
  </sheetViews>
  <sheetFormatPr defaultColWidth="0" defaultRowHeight="15" customHeight="1" zeroHeight="1" x14ac:dyDescent="0.25"/>
  <cols>
    <col min="1" max="1" width="3" customWidth="1"/>
    <col min="2" max="2" width="36" customWidth="1"/>
    <col min="3" max="3" width="14.28515625" customWidth="1"/>
    <col min="4" max="4" width="9" bestFit="1" customWidth="1"/>
    <col min="5" max="5" width="5.42578125" customWidth="1"/>
    <col min="6" max="6" width="9.5703125" style="1" bestFit="1" customWidth="1"/>
    <col min="7" max="7" width="10.5703125" style="1" bestFit="1" customWidth="1"/>
    <col min="8" max="8" width="10.28515625" style="1" bestFit="1" customWidth="1"/>
    <col min="9" max="9" width="9.28515625" style="1" customWidth="1"/>
    <col min="10" max="10" width="9.5703125" style="1" bestFit="1" customWidth="1"/>
    <col min="11" max="15" width="9.28515625" style="1" customWidth="1"/>
    <col min="16" max="16" width="10.7109375" style="1" customWidth="1"/>
    <col min="17" max="17" width="3.5703125" customWidth="1"/>
    <col min="18" max="16384" width="9.28515625" hidden="1"/>
  </cols>
  <sheetData>
    <row r="1" spans="2:16" x14ac:dyDescent="0.25"/>
    <row r="2" spans="2:16" x14ac:dyDescent="0.25"/>
    <row r="3" spans="2:16" x14ac:dyDescent="0.25"/>
    <row r="4" spans="2:16" x14ac:dyDescent="0.25"/>
    <row r="5" spans="2:16" x14ac:dyDescent="0.25"/>
    <row r="6" spans="2:16" x14ac:dyDescent="0.25"/>
    <row r="7" spans="2:16" x14ac:dyDescent="0.25"/>
    <row r="8" spans="2:16" ht="49.5" customHeight="1" x14ac:dyDescent="0.25"/>
    <row r="9" spans="2:16" ht="15" customHeight="1" x14ac:dyDescent="0.25">
      <c r="L9" s="182" t="s">
        <v>0</v>
      </c>
      <c r="M9" s="182"/>
      <c r="O9" s="2" t="s">
        <v>1</v>
      </c>
      <c r="P9" s="3">
        <v>42720</v>
      </c>
    </row>
    <row r="10" spans="2:16" ht="3.75" customHeight="1" x14ac:dyDescent="0.25">
      <c r="O10" s="2"/>
      <c r="P10" s="3"/>
    </row>
    <row r="11" spans="2:16" ht="34.5" customHeight="1" x14ac:dyDescent="0.25">
      <c r="B11" s="4" t="s">
        <v>2</v>
      </c>
      <c r="C11" s="5"/>
      <c r="D11" s="5"/>
      <c r="E11" s="183" t="s">
        <v>672</v>
      </c>
      <c r="F11" s="183"/>
      <c r="G11" s="183"/>
      <c r="H11" s="183"/>
      <c r="I11" s="183"/>
      <c r="J11" s="183"/>
      <c r="K11" s="183"/>
      <c r="L11" s="183"/>
      <c r="M11" s="183"/>
      <c r="N11" s="183"/>
      <c r="O11" s="6"/>
      <c r="P11" s="103"/>
    </row>
    <row r="12" spans="2:16" x14ac:dyDescent="0.25">
      <c r="B12" s="7" t="s">
        <v>4</v>
      </c>
      <c r="C12" s="7" t="s">
        <v>5</v>
      </c>
      <c r="D12" s="7" t="s">
        <v>6</v>
      </c>
      <c r="E12" s="7" t="s">
        <v>7</v>
      </c>
      <c r="F12" s="8" t="s">
        <v>8</v>
      </c>
      <c r="G12" s="8"/>
      <c r="H12" s="8" t="s">
        <v>9</v>
      </c>
      <c r="I12" s="8"/>
      <c r="J12" s="8" t="s">
        <v>10</v>
      </c>
      <c r="K12" s="8"/>
      <c r="L12" s="8" t="s">
        <v>11</v>
      </c>
      <c r="M12" s="8"/>
      <c r="N12" s="8"/>
      <c r="O12" s="8"/>
      <c r="P12" s="8" t="s">
        <v>12</v>
      </c>
    </row>
    <row r="13" spans="2:16" ht="5.25" customHeight="1" x14ac:dyDescent="0.25">
      <c r="B13" s="9"/>
      <c r="C13" s="9"/>
      <c r="D13" s="9"/>
      <c r="E13" s="10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</row>
    <row r="14" spans="2:16" x14ac:dyDescent="0.25">
      <c r="B14" s="12" t="s">
        <v>13</v>
      </c>
      <c r="C14" s="13" t="s">
        <v>14</v>
      </c>
      <c r="D14" s="14" t="s">
        <v>15</v>
      </c>
      <c r="E14" s="14" t="s">
        <v>16</v>
      </c>
      <c r="F14" s="15">
        <v>42541</v>
      </c>
      <c r="G14" s="16">
        <v>4.1000000000000002E-2</v>
      </c>
      <c r="H14" s="15"/>
      <c r="I14" s="16"/>
      <c r="J14" s="15"/>
      <c r="K14" s="16"/>
      <c r="L14" s="15"/>
      <c r="M14" s="104"/>
      <c r="N14" s="17"/>
      <c r="O14" s="16"/>
      <c r="P14" s="18">
        <f>G14+I14+K14+O14+M14</f>
        <v>4.1000000000000002E-2</v>
      </c>
    </row>
    <row r="15" spans="2:16" x14ac:dyDescent="0.25">
      <c r="B15" s="12" t="s">
        <v>17</v>
      </c>
      <c r="C15" s="13" t="s">
        <v>18</v>
      </c>
      <c r="D15" s="14" t="s">
        <v>15</v>
      </c>
      <c r="E15" s="14" t="s">
        <v>16</v>
      </c>
      <c r="F15" s="15">
        <v>42481</v>
      </c>
      <c r="G15" s="16">
        <v>0.52</v>
      </c>
      <c r="H15" s="15"/>
      <c r="I15" s="16"/>
      <c r="J15" s="15"/>
      <c r="K15" s="16"/>
      <c r="L15" s="15"/>
      <c r="M15" s="104"/>
      <c r="N15" s="17"/>
      <c r="O15" s="16"/>
      <c r="P15" s="18">
        <f t="shared" ref="P15:P80" si="0">G15+I15+K15+O15+M15</f>
        <v>0.52</v>
      </c>
    </row>
    <row r="16" spans="2:16" x14ac:dyDescent="0.25">
      <c r="B16" s="12" t="s">
        <v>19</v>
      </c>
      <c r="C16" s="13" t="s">
        <v>20</v>
      </c>
      <c r="D16" s="14" t="s">
        <v>15</v>
      </c>
      <c r="E16" s="14" t="s">
        <v>21</v>
      </c>
      <c r="F16" s="15">
        <v>42562</v>
      </c>
      <c r="G16" s="16">
        <v>0.74</v>
      </c>
      <c r="H16" s="15"/>
      <c r="I16" s="16"/>
      <c r="J16" s="15"/>
      <c r="K16" s="16"/>
      <c r="L16" s="15"/>
      <c r="M16" s="104"/>
      <c r="N16" s="17"/>
      <c r="O16" s="16"/>
      <c r="P16" s="18">
        <f t="shared" si="0"/>
        <v>0.74</v>
      </c>
    </row>
    <row r="17" spans="2:16" x14ac:dyDescent="0.25">
      <c r="B17" s="12" t="s">
        <v>22</v>
      </c>
      <c r="C17" s="13" t="s">
        <v>23</v>
      </c>
      <c r="D17" s="14" t="s">
        <v>24</v>
      </c>
      <c r="E17" s="14" t="s">
        <v>16</v>
      </c>
      <c r="F17" s="15">
        <v>42487</v>
      </c>
      <c r="G17" s="16">
        <v>1</v>
      </c>
      <c r="H17" s="15"/>
      <c r="I17" s="16"/>
      <c r="J17" s="15"/>
      <c r="K17" s="16"/>
      <c r="L17" s="15"/>
      <c r="M17" s="104"/>
      <c r="N17" s="17"/>
      <c r="O17" s="16"/>
      <c r="P17" s="18">
        <f t="shared" si="0"/>
        <v>1</v>
      </c>
    </row>
    <row r="18" spans="2:16" x14ac:dyDescent="0.25">
      <c r="B18" s="12" t="s">
        <v>25</v>
      </c>
      <c r="C18" s="13" t="s">
        <v>26</v>
      </c>
      <c r="D18" s="14" t="s">
        <v>27</v>
      </c>
      <c r="E18" s="14" t="s">
        <v>16</v>
      </c>
      <c r="F18" s="15">
        <v>42520</v>
      </c>
      <c r="G18" s="16">
        <v>1.96</v>
      </c>
      <c r="H18" s="15"/>
      <c r="I18" s="16"/>
      <c r="J18" s="15"/>
      <c r="K18" s="16"/>
      <c r="L18" s="15"/>
      <c r="M18" s="104"/>
      <c r="N18" s="17"/>
      <c r="O18" s="16"/>
      <c r="P18" s="18">
        <f t="shared" si="0"/>
        <v>1.96</v>
      </c>
    </row>
    <row r="19" spans="2:16" x14ac:dyDescent="0.25">
      <c r="B19" s="12" t="s">
        <v>642</v>
      </c>
      <c r="C19" s="13" t="s">
        <v>643</v>
      </c>
      <c r="D19" s="14" t="s">
        <v>15</v>
      </c>
      <c r="E19" s="14" t="s">
        <v>21</v>
      </c>
      <c r="F19" s="15">
        <v>42499</v>
      </c>
      <c r="G19" s="16">
        <v>1.5</v>
      </c>
      <c r="H19" s="15"/>
      <c r="I19" s="16"/>
      <c r="J19" s="15"/>
      <c r="K19" s="16"/>
      <c r="L19" s="15"/>
      <c r="M19" s="104"/>
      <c r="N19" s="17"/>
      <c r="O19" s="16"/>
      <c r="P19" s="18">
        <f t="shared" si="0"/>
        <v>1.5</v>
      </c>
    </row>
    <row r="20" spans="2:16" x14ac:dyDescent="0.25">
      <c r="B20" s="12" t="s">
        <v>28</v>
      </c>
      <c r="C20" s="13" t="s">
        <v>29</v>
      </c>
      <c r="D20" s="14" t="s">
        <v>15</v>
      </c>
      <c r="E20" s="14" t="s">
        <v>21</v>
      </c>
      <c r="F20" s="15">
        <v>42489</v>
      </c>
      <c r="G20" s="16">
        <v>2.4</v>
      </c>
      <c r="H20" s="15"/>
      <c r="I20" s="16"/>
      <c r="J20" s="15"/>
      <c r="K20" s="16"/>
      <c r="L20" s="15"/>
      <c r="M20" s="104"/>
      <c r="N20" s="17"/>
      <c r="O20" s="16"/>
      <c r="P20" s="18">
        <f t="shared" si="0"/>
        <v>2.4</v>
      </c>
    </row>
    <row r="21" spans="2:16" x14ac:dyDescent="0.25">
      <c r="B21" s="12" t="s">
        <v>30</v>
      </c>
      <c r="C21" s="13" t="s">
        <v>31</v>
      </c>
      <c r="D21" s="14" t="s">
        <v>15</v>
      </c>
      <c r="E21" s="14" t="s">
        <v>16</v>
      </c>
      <c r="F21" s="15">
        <v>42503</v>
      </c>
      <c r="G21" s="16">
        <v>1.6</v>
      </c>
      <c r="H21" s="15"/>
      <c r="I21" s="16"/>
      <c r="J21" s="15"/>
      <c r="K21" s="16"/>
      <c r="L21" s="15"/>
      <c r="M21" s="104"/>
      <c r="N21" s="17"/>
      <c r="O21" s="16"/>
      <c r="P21" s="18">
        <f t="shared" si="0"/>
        <v>1.6</v>
      </c>
    </row>
    <row r="22" spans="2:16" x14ac:dyDescent="0.25">
      <c r="B22" s="12" t="s">
        <v>32</v>
      </c>
      <c r="C22" s="13" t="s">
        <v>33</v>
      </c>
      <c r="D22" s="14" t="s">
        <v>15</v>
      </c>
      <c r="E22" s="14" t="s">
        <v>16</v>
      </c>
      <c r="F22" s="15">
        <v>42514</v>
      </c>
      <c r="G22" s="16">
        <v>0.13</v>
      </c>
      <c r="H22" s="15">
        <v>42601</v>
      </c>
      <c r="I22" s="16">
        <v>0.13</v>
      </c>
      <c r="J22" s="15"/>
      <c r="K22" s="16"/>
      <c r="L22" s="15"/>
      <c r="M22" s="104"/>
      <c r="N22" s="17"/>
      <c r="O22" s="16"/>
      <c r="P22" s="18">
        <f t="shared" si="0"/>
        <v>0.26</v>
      </c>
    </row>
    <row r="23" spans="2:16" x14ac:dyDescent="0.25">
      <c r="B23" s="12" t="s">
        <v>34</v>
      </c>
      <c r="C23" s="13" t="s">
        <v>35</v>
      </c>
      <c r="D23" s="14" t="s">
        <v>27</v>
      </c>
      <c r="E23" s="14" t="s">
        <v>16</v>
      </c>
      <c r="F23" s="15">
        <v>42499</v>
      </c>
      <c r="G23" s="16">
        <v>1.65</v>
      </c>
      <c r="H23" s="15"/>
      <c r="I23" s="16"/>
      <c r="J23" s="15"/>
      <c r="K23" s="16"/>
      <c r="L23" s="15"/>
      <c r="M23" s="104"/>
      <c r="N23" s="17"/>
      <c r="O23" s="16"/>
      <c r="P23" s="18">
        <f t="shared" si="0"/>
        <v>1.65</v>
      </c>
    </row>
    <row r="24" spans="2:16" x14ac:dyDescent="0.25">
      <c r="B24" s="12" t="s">
        <v>36</v>
      </c>
      <c r="C24" s="13" t="s">
        <v>37</v>
      </c>
      <c r="D24" s="14" t="s">
        <v>15</v>
      </c>
      <c r="E24" s="14" t="s">
        <v>16</v>
      </c>
      <c r="F24" s="105">
        <v>42481</v>
      </c>
      <c r="G24" s="106">
        <v>0.52080000000000004</v>
      </c>
      <c r="H24" s="15"/>
      <c r="I24" s="16"/>
      <c r="J24" s="15"/>
      <c r="K24" s="16"/>
      <c r="L24" s="15"/>
      <c r="M24" s="104"/>
      <c r="N24" s="17"/>
      <c r="O24" s="16"/>
      <c r="P24" s="18">
        <f t="shared" si="0"/>
        <v>0.52080000000000004</v>
      </c>
    </row>
    <row r="25" spans="2:16" x14ac:dyDescent="0.25">
      <c r="B25" s="12" t="s">
        <v>38</v>
      </c>
      <c r="C25" s="13" t="s">
        <v>39</v>
      </c>
      <c r="D25" s="14" t="s">
        <v>27</v>
      </c>
      <c r="E25" s="14" t="s">
        <v>16</v>
      </c>
      <c r="F25" s="105">
        <v>42521</v>
      </c>
      <c r="G25" s="106">
        <v>0.37895400000000001</v>
      </c>
      <c r="H25" s="15"/>
      <c r="I25" s="16"/>
      <c r="J25" s="15"/>
      <c r="K25" s="16"/>
      <c r="L25" s="15"/>
      <c r="M25" s="104"/>
      <c r="N25" s="17"/>
      <c r="O25" s="16"/>
      <c r="P25" s="18">
        <f t="shared" si="0"/>
        <v>0.37895400000000001</v>
      </c>
    </row>
    <row r="26" spans="2:16" x14ac:dyDescent="0.25">
      <c r="B26" s="12" t="s">
        <v>38</v>
      </c>
      <c r="C26" s="13" t="s">
        <v>40</v>
      </c>
      <c r="D26" s="14" t="s">
        <v>27</v>
      </c>
      <c r="E26" s="14" t="s">
        <v>16</v>
      </c>
      <c r="F26" s="105">
        <v>42521</v>
      </c>
      <c r="G26" s="106">
        <v>0.37895400000000001</v>
      </c>
      <c r="H26" s="15"/>
      <c r="I26" s="16"/>
      <c r="J26" s="15"/>
      <c r="K26" s="16"/>
      <c r="L26" s="15"/>
      <c r="M26" s="104"/>
      <c r="N26" s="17"/>
      <c r="O26" s="16"/>
      <c r="P26" s="18">
        <f t="shared" si="0"/>
        <v>0.37895400000000001</v>
      </c>
    </row>
    <row r="27" spans="2:16" x14ac:dyDescent="0.25">
      <c r="B27" s="12" t="s">
        <v>41</v>
      </c>
      <c r="C27" s="13" t="s">
        <v>42</v>
      </c>
      <c r="D27" s="14" t="s">
        <v>24</v>
      </c>
      <c r="E27" s="14" t="s">
        <v>16</v>
      </c>
      <c r="F27" s="105">
        <v>42513</v>
      </c>
      <c r="G27" s="106">
        <v>2.5324137283999999</v>
      </c>
      <c r="H27" s="15"/>
      <c r="I27" s="16"/>
      <c r="J27" s="15"/>
      <c r="K27" s="16"/>
      <c r="L27" s="15"/>
      <c r="M27" s="104"/>
      <c r="N27" s="17"/>
      <c r="O27" s="16"/>
      <c r="P27" s="18">
        <f t="shared" si="0"/>
        <v>2.5324137283999999</v>
      </c>
    </row>
    <row r="28" spans="2:16" x14ac:dyDescent="0.25">
      <c r="B28" s="12" t="s">
        <v>646</v>
      </c>
      <c r="C28" s="13" t="s">
        <v>44</v>
      </c>
      <c r="D28" s="14" t="s">
        <v>24</v>
      </c>
      <c r="E28" s="14" t="s">
        <v>16</v>
      </c>
      <c r="F28" s="15">
        <v>42492</v>
      </c>
      <c r="G28" s="16">
        <v>1.3</v>
      </c>
      <c r="H28" s="15"/>
      <c r="I28" s="16"/>
      <c r="J28" s="15"/>
      <c r="K28" s="16"/>
      <c r="L28" s="15"/>
      <c r="M28" s="104"/>
      <c r="N28" s="17"/>
      <c r="O28" s="16"/>
      <c r="P28" s="18">
        <f t="shared" si="0"/>
        <v>1.3</v>
      </c>
    </row>
    <row r="29" spans="2:16" x14ac:dyDescent="0.25">
      <c r="B29" s="12" t="s">
        <v>45</v>
      </c>
      <c r="C29" s="13" t="s">
        <v>46</v>
      </c>
      <c r="D29" s="14" t="s">
        <v>15</v>
      </c>
      <c r="E29" s="14" t="s">
        <v>16</v>
      </c>
      <c r="F29" s="15">
        <v>42482</v>
      </c>
      <c r="G29" s="16">
        <v>1.2</v>
      </c>
      <c r="H29" s="15">
        <v>42664</v>
      </c>
      <c r="I29" s="16">
        <v>0.37</v>
      </c>
      <c r="J29" s="15"/>
      <c r="K29" s="16"/>
      <c r="L29" s="15"/>
      <c r="M29" s="104"/>
      <c r="N29" s="17"/>
      <c r="O29" s="16"/>
      <c r="P29" s="18">
        <f t="shared" si="0"/>
        <v>1.5699999999999998</v>
      </c>
    </row>
    <row r="30" spans="2:16" x14ac:dyDescent="0.25">
      <c r="B30" s="12" t="s">
        <v>47</v>
      </c>
      <c r="C30" s="13" t="s">
        <v>48</v>
      </c>
      <c r="D30" s="14" t="s">
        <v>15</v>
      </c>
      <c r="E30" s="14" t="s">
        <v>16</v>
      </c>
      <c r="F30" s="15">
        <v>42495</v>
      </c>
      <c r="G30" s="16">
        <v>7.3</v>
      </c>
      <c r="H30" s="15"/>
      <c r="I30" s="16"/>
      <c r="J30" s="15"/>
      <c r="K30" s="16"/>
      <c r="L30" s="15"/>
      <c r="M30" s="104"/>
      <c r="N30" s="17"/>
      <c r="O30" s="16"/>
      <c r="P30" s="18">
        <f t="shared" si="0"/>
        <v>7.3</v>
      </c>
    </row>
    <row r="31" spans="2:16" x14ac:dyDescent="0.25">
      <c r="B31" s="12" t="s">
        <v>49</v>
      </c>
      <c r="C31" s="13" t="s">
        <v>50</v>
      </c>
      <c r="D31" s="14" t="s">
        <v>24</v>
      </c>
      <c r="E31" s="14" t="s">
        <v>16</v>
      </c>
      <c r="F31" s="15"/>
      <c r="G31" s="16"/>
      <c r="H31" s="15"/>
      <c r="I31" s="16"/>
      <c r="J31" s="15"/>
      <c r="K31" s="16"/>
      <c r="L31" s="15"/>
      <c r="M31" s="104"/>
      <c r="N31" s="17"/>
      <c r="O31" s="16"/>
      <c r="P31" s="18">
        <f t="shared" si="0"/>
        <v>0</v>
      </c>
    </row>
    <row r="32" spans="2:16" x14ac:dyDescent="0.25">
      <c r="B32" s="12" t="s">
        <v>51</v>
      </c>
      <c r="C32" s="13" t="s">
        <v>52</v>
      </c>
      <c r="D32" s="14" t="s">
        <v>15</v>
      </c>
      <c r="E32" s="14" t="s">
        <v>16</v>
      </c>
      <c r="F32" s="15">
        <v>42397</v>
      </c>
      <c r="G32" s="16">
        <v>0.34</v>
      </c>
      <c r="H32" s="15">
        <v>42576</v>
      </c>
      <c r="I32" s="16">
        <v>0.435</v>
      </c>
      <c r="J32" s="15"/>
      <c r="K32" s="16"/>
      <c r="L32" s="15"/>
      <c r="M32" s="104"/>
      <c r="N32" s="17"/>
      <c r="O32" s="16"/>
      <c r="P32" s="18">
        <f t="shared" si="0"/>
        <v>0.77500000000000002</v>
      </c>
    </row>
    <row r="33" spans="2:16" x14ac:dyDescent="0.25">
      <c r="B33" s="12" t="s">
        <v>57</v>
      </c>
      <c r="C33" s="13" t="s">
        <v>58</v>
      </c>
      <c r="D33" s="14" t="s">
        <v>15</v>
      </c>
      <c r="E33" s="14" t="s">
        <v>56</v>
      </c>
      <c r="F33" s="15"/>
      <c r="G33" s="16"/>
      <c r="H33" s="15"/>
      <c r="I33" s="16"/>
      <c r="J33" s="15"/>
      <c r="K33" s="16"/>
      <c r="L33" s="15"/>
      <c r="M33" s="104"/>
      <c r="N33" s="17"/>
      <c r="O33" s="16"/>
      <c r="P33" s="18">
        <f t="shared" si="0"/>
        <v>0</v>
      </c>
    </row>
    <row r="34" spans="2:16" x14ac:dyDescent="0.25">
      <c r="B34" s="12" t="s">
        <v>59</v>
      </c>
      <c r="C34" s="13" t="s">
        <v>60</v>
      </c>
      <c r="D34" s="14" t="s">
        <v>27</v>
      </c>
      <c r="E34" s="14" t="s">
        <v>16</v>
      </c>
      <c r="F34" s="15">
        <v>42489</v>
      </c>
      <c r="G34" s="16">
        <v>2</v>
      </c>
      <c r="H34" s="15">
        <v>42689</v>
      </c>
      <c r="I34" s="16">
        <v>1.6</v>
      </c>
      <c r="J34" s="15"/>
      <c r="K34" s="16"/>
      <c r="L34" s="15"/>
      <c r="M34" s="104"/>
      <c r="N34" s="17"/>
      <c r="O34" s="16"/>
      <c r="P34" s="18">
        <f t="shared" si="0"/>
        <v>3.6</v>
      </c>
    </row>
    <row r="35" spans="2:16" x14ac:dyDescent="0.25">
      <c r="B35" s="12" t="s">
        <v>63</v>
      </c>
      <c r="C35" s="13" t="s">
        <v>64</v>
      </c>
      <c r="D35" s="14" t="s">
        <v>15</v>
      </c>
      <c r="E35" s="14" t="s">
        <v>16</v>
      </c>
      <c r="F35" s="15"/>
      <c r="G35" s="27"/>
      <c r="H35" s="15"/>
      <c r="I35" s="16"/>
      <c r="J35" s="15"/>
      <c r="K35" s="16"/>
      <c r="L35" s="15"/>
      <c r="M35" s="104"/>
      <c r="N35" s="17"/>
      <c r="O35" s="16"/>
      <c r="P35" s="18">
        <f t="shared" si="0"/>
        <v>0</v>
      </c>
    </row>
    <row r="36" spans="2:16" x14ac:dyDescent="0.25">
      <c r="B36" s="12" t="s">
        <v>673</v>
      </c>
      <c r="C36" s="13" t="s">
        <v>674</v>
      </c>
      <c r="D36" s="14" t="s">
        <v>15</v>
      </c>
      <c r="E36" s="14" t="s">
        <v>16</v>
      </c>
      <c r="F36" s="15"/>
      <c r="G36" s="27"/>
      <c r="H36" s="15"/>
      <c r="I36" s="16"/>
      <c r="J36" s="15"/>
      <c r="K36" s="16"/>
      <c r="L36" s="15"/>
      <c r="M36" s="104"/>
      <c r="N36" s="17"/>
      <c r="O36" s="16"/>
      <c r="P36" s="18">
        <f t="shared" si="0"/>
        <v>0</v>
      </c>
    </row>
    <row r="37" spans="2:16" x14ac:dyDescent="0.25">
      <c r="B37" s="12" t="s">
        <v>65</v>
      </c>
      <c r="C37" s="13" t="s">
        <v>66</v>
      </c>
      <c r="D37" s="14" t="s">
        <v>15</v>
      </c>
      <c r="E37" s="14" t="s">
        <v>16</v>
      </c>
      <c r="F37" s="15">
        <v>42493</v>
      </c>
      <c r="G37" s="16">
        <v>1.05</v>
      </c>
      <c r="H37" s="15"/>
      <c r="I37" s="16"/>
      <c r="J37" s="15"/>
      <c r="K37" s="16"/>
      <c r="L37" s="15"/>
      <c r="M37" s="104"/>
      <c r="N37" s="17"/>
      <c r="O37" s="16"/>
      <c r="P37" s="18">
        <f t="shared" si="0"/>
        <v>1.05</v>
      </c>
    </row>
    <row r="38" spans="2:16" x14ac:dyDescent="0.25">
      <c r="B38" s="12" t="s">
        <v>67</v>
      </c>
      <c r="C38" s="13" t="s">
        <v>68</v>
      </c>
      <c r="D38" s="14" t="s">
        <v>15</v>
      </c>
      <c r="E38" s="14" t="s">
        <v>16</v>
      </c>
      <c r="F38" s="15">
        <v>42513</v>
      </c>
      <c r="G38" s="16">
        <v>0.72</v>
      </c>
      <c r="H38" s="15"/>
      <c r="I38" s="16"/>
      <c r="J38" s="15"/>
      <c r="K38" s="16"/>
      <c r="L38" s="15"/>
      <c r="M38" s="104"/>
      <c r="N38" s="17"/>
      <c r="O38" s="16"/>
      <c r="P38" s="18">
        <f t="shared" si="0"/>
        <v>0.72</v>
      </c>
    </row>
    <row r="39" spans="2:16" x14ac:dyDescent="0.25">
      <c r="B39" s="12" t="s">
        <v>69</v>
      </c>
      <c r="C39" s="13" t="s">
        <v>70</v>
      </c>
      <c r="D39" s="14" t="s">
        <v>15</v>
      </c>
      <c r="E39" s="14" t="s">
        <v>56</v>
      </c>
      <c r="F39" s="15">
        <v>42418</v>
      </c>
      <c r="G39" s="16">
        <v>1.9</v>
      </c>
      <c r="H39" s="15">
        <v>42593</v>
      </c>
      <c r="I39" s="16">
        <v>0.9</v>
      </c>
      <c r="J39" s="15"/>
      <c r="K39" s="16"/>
      <c r="L39" s="15"/>
      <c r="M39" s="104"/>
      <c r="N39" s="17"/>
      <c r="O39" s="16"/>
      <c r="P39" s="18">
        <f t="shared" si="0"/>
        <v>2.8</v>
      </c>
    </row>
    <row r="40" spans="2:16" x14ac:dyDescent="0.25">
      <c r="B40" s="12" t="s">
        <v>73</v>
      </c>
      <c r="C40" s="13" t="s">
        <v>74</v>
      </c>
      <c r="D40" s="14" t="s">
        <v>15</v>
      </c>
      <c r="E40" s="14" t="s">
        <v>16</v>
      </c>
      <c r="F40" s="15">
        <v>42513</v>
      </c>
      <c r="G40" s="16">
        <v>0.48</v>
      </c>
      <c r="H40" s="15">
        <v>42695</v>
      </c>
      <c r="I40" s="16">
        <v>0.44</v>
      </c>
      <c r="J40" s="15"/>
      <c r="K40" s="16"/>
      <c r="L40" s="15"/>
      <c r="M40" s="104"/>
      <c r="N40" s="17"/>
      <c r="O40" s="16"/>
      <c r="P40" s="18">
        <f t="shared" si="0"/>
        <v>0.91999999999999993</v>
      </c>
    </row>
    <row r="41" spans="2:16" x14ac:dyDescent="0.25">
      <c r="B41" s="12" t="s">
        <v>75</v>
      </c>
      <c r="C41" s="13" t="s">
        <v>76</v>
      </c>
      <c r="D41" s="14" t="s">
        <v>15</v>
      </c>
      <c r="E41" s="14" t="s">
        <v>77</v>
      </c>
      <c r="F41" s="15">
        <v>42467</v>
      </c>
      <c r="G41" s="16">
        <v>14.05</v>
      </c>
      <c r="H41" s="15">
        <v>42649</v>
      </c>
      <c r="I41" s="16">
        <v>7.42</v>
      </c>
      <c r="J41" s="15"/>
      <c r="K41" s="16"/>
      <c r="L41" s="15"/>
      <c r="M41" s="104"/>
      <c r="N41" s="17"/>
      <c r="O41" s="16"/>
      <c r="P41" s="18">
        <f t="shared" si="0"/>
        <v>21.47</v>
      </c>
    </row>
    <row r="42" spans="2:16" x14ac:dyDescent="0.25">
      <c r="B42" s="12" t="s">
        <v>78</v>
      </c>
      <c r="C42" s="13" t="s">
        <v>79</v>
      </c>
      <c r="D42" s="14" t="s">
        <v>24</v>
      </c>
      <c r="E42" s="14" t="s">
        <v>16</v>
      </c>
      <c r="F42" s="15">
        <v>42496</v>
      </c>
      <c r="G42" s="16">
        <v>1.1000000000000001</v>
      </c>
      <c r="H42" s="15"/>
      <c r="I42" s="16"/>
      <c r="J42" s="15"/>
      <c r="K42" s="16"/>
      <c r="L42" s="15"/>
      <c r="M42" s="104"/>
      <c r="N42" s="17"/>
      <c r="O42" s="16"/>
      <c r="P42" s="18">
        <f t="shared" si="0"/>
        <v>1.1000000000000001</v>
      </c>
    </row>
    <row r="43" spans="2:16" x14ac:dyDescent="0.25">
      <c r="B43" s="12" t="s">
        <v>80</v>
      </c>
      <c r="C43" s="13" t="s">
        <v>81</v>
      </c>
      <c r="D43" s="14" t="s">
        <v>15</v>
      </c>
      <c r="E43" s="14" t="s">
        <v>16</v>
      </c>
      <c r="F43" s="15">
        <v>42513</v>
      </c>
      <c r="G43" s="16">
        <v>0.5</v>
      </c>
      <c r="H43" s="15">
        <v>42695</v>
      </c>
      <c r="I43" s="16">
        <v>1</v>
      </c>
      <c r="J43" s="15"/>
      <c r="K43" s="16"/>
      <c r="L43" s="15"/>
      <c r="M43" s="104"/>
      <c r="N43" s="17"/>
      <c r="O43" s="16"/>
      <c r="P43" s="18">
        <f t="shared" si="0"/>
        <v>1.5</v>
      </c>
    </row>
    <row r="44" spans="2:16" x14ac:dyDescent="0.25">
      <c r="B44" s="12" t="s">
        <v>82</v>
      </c>
      <c r="C44" s="13" t="s">
        <v>83</v>
      </c>
      <c r="D44" s="14" t="s">
        <v>15</v>
      </c>
      <c r="E44" s="14" t="s">
        <v>77</v>
      </c>
      <c r="F44" s="15">
        <v>42481</v>
      </c>
      <c r="G44" s="16">
        <v>12.5</v>
      </c>
      <c r="H44" s="15">
        <v>42663</v>
      </c>
      <c r="I44" s="16">
        <v>8.6</v>
      </c>
      <c r="J44" s="15"/>
      <c r="K44" s="16"/>
      <c r="L44" s="15"/>
      <c r="M44" s="104"/>
      <c r="N44" s="17"/>
      <c r="O44" s="16"/>
      <c r="P44" s="18">
        <f t="shared" si="0"/>
        <v>21.1</v>
      </c>
    </row>
    <row r="45" spans="2:16" x14ac:dyDescent="0.25">
      <c r="B45" s="12" t="s">
        <v>84</v>
      </c>
      <c r="C45" s="13" t="s">
        <v>85</v>
      </c>
      <c r="D45" s="14" t="s">
        <v>15</v>
      </c>
      <c r="E45" s="14" t="s">
        <v>16</v>
      </c>
      <c r="F45" s="15">
        <v>42478</v>
      </c>
      <c r="G45" s="16">
        <v>0.14000000000000001</v>
      </c>
      <c r="H45" s="15">
        <v>42695</v>
      </c>
      <c r="I45" s="16">
        <v>0.16</v>
      </c>
      <c r="J45" s="15"/>
      <c r="K45" s="16"/>
      <c r="L45" s="15"/>
      <c r="M45" s="104"/>
      <c r="N45" s="17"/>
      <c r="O45" s="16"/>
      <c r="P45" s="18">
        <f t="shared" si="0"/>
        <v>0.30000000000000004</v>
      </c>
    </row>
    <row r="46" spans="2:16" x14ac:dyDescent="0.25">
      <c r="B46" s="12" t="s">
        <v>124</v>
      </c>
      <c r="C46" s="13" t="s">
        <v>125</v>
      </c>
      <c r="D46" s="14" t="s">
        <v>15</v>
      </c>
      <c r="E46" s="14" t="s">
        <v>16</v>
      </c>
      <c r="F46" s="15">
        <v>42513</v>
      </c>
      <c r="G46" s="16">
        <v>0.1</v>
      </c>
      <c r="H46" s="15"/>
      <c r="I46" s="16"/>
      <c r="J46" s="15"/>
      <c r="K46" s="16"/>
      <c r="L46" s="15"/>
      <c r="M46" s="104"/>
      <c r="N46" s="17"/>
      <c r="O46" s="16"/>
      <c r="P46" s="18">
        <f t="shared" si="0"/>
        <v>0.1</v>
      </c>
    </row>
    <row r="47" spans="2:16" x14ac:dyDescent="0.25">
      <c r="B47" s="12" t="s">
        <v>651</v>
      </c>
      <c r="C47" s="13" t="s">
        <v>89</v>
      </c>
      <c r="D47" s="14" t="s">
        <v>15</v>
      </c>
      <c r="E47" s="14" t="s">
        <v>16</v>
      </c>
      <c r="F47" s="15">
        <v>42513</v>
      </c>
      <c r="G47" s="16">
        <v>2.7E-2</v>
      </c>
      <c r="H47" s="15"/>
      <c r="I47" s="16"/>
      <c r="J47" s="15"/>
      <c r="K47" s="16"/>
      <c r="L47" s="15"/>
      <c r="M47" s="104"/>
      <c r="N47" s="17"/>
      <c r="O47" s="16"/>
      <c r="P47" s="18">
        <f t="shared" si="0"/>
        <v>2.7E-2</v>
      </c>
    </row>
    <row r="48" spans="2:16" x14ac:dyDescent="0.25">
      <c r="B48" s="12" t="s">
        <v>86</v>
      </c>
      <c r="C48" s="13" t="s">
        <v>87</v>
      </c>
      <c r="D48" s="14" t="s">
        <v>15</v>
      </c>
      <c r="E48" s="14" t="s">
        <v>16</v>
      </c>
      <c r="F48" s="15">
        <v>42381</v>
      </c>
      <c r="G48" s="16">
        <v>0.08</v>
      </c>
      <c r="H48" s="15">
        <v>42465</v>
      </c>
      <c r="I48" s="16">
        <v>0.129</v>
      </c>
      <c r="J48" s="15">
        <v>42557</v>
      </c>
      <c r="K48" s="16">
        <v>0.08</v>
      </c>
      <c r="L48" s="15">
        <v>42646</v>
      </c>
      <c r="M48" s="107">
        <v>0.08</v>
      </c>
      <c r="N48" s="17"/>
      <c r="O48" s="16"/>
      <c r="P48" s="18">
        <f t="shared" si="0"/>
        <v>0.36900000000000005</v>
      </c>
    </row>
    <row r="49" spans="2:16" x14ac:dyDescent="0.25">
      <c r="B49" s="12" t="s">
        <v>652</v>
      </c>
      <c r="C49" s="13" t="s">
        <v>653</v>
      </c>
      <c r="D49" s="14" t="s">
        <v>15</v>
      </c>
      <c r="E49" s="14" t="s">
        <v>16</v>
      </c>
      <c r="F49" s="29">
        <v>42478</v>
      </c>
      <c r="G49" s="71">
        <v>0.1113</v>
      </c>
      <c r="H49" s="15"/>
      <c r="I49" s="16"/>
      <c r="J49" s="15"/>
      <c r="K49" s="16"/>
      <c r="L49" s="15"/>
      <c r="M49" s="107"/>
      <c r="N49" s="17"/>
      <c r="O49" s="16"/>
      <c r="P49" s="18">
        <f t="shared" si="0"/>
        <v>0.1113</v>
      </c>
    </row>
    <row r="50" spans="2:16" x14ac:dyDescent="0.25">
      <c r="B50" s="12" t="s">
        <v>675</v>
      </c>
      <c r="C50" s="13" t="s">
        <v>676</v>
      </c>
      <c r="D50" s="14" t="s">
        <v>15</v>
      </c>
      <c r="E50" s="14" t="s">
        <v>16</v>
      </c>
      <c r="F50" s="29">
        <v>42478</v>
      </c>
      <c r="G50" s="71">
        <v>0.1113</v>
      </c>
      <c r="H50" s="15"/>
      <c r="I50" s="16"/>
      <c r="J50" s="15"/>
      <c r="K50" s="16"/>
      <c r="L50" s="15"/>
      <c r="M50" s="107"/>
      <c r="N50" s="17"/>
      <c r="O50" s="16"/>
      <c r="P50" s="18">
        <f t="shared" si="0"/>
        <v>0.1113</v>
      </c>
    </row>
    <row r="51" spans="2:16" x14ac:dyDescent="0.25">
      <c r="B51" s="12" t="s">
        <v>654</v>
      </c>
      <c r="C51" s="13" t="s">
        <v>655</v>
      </c>
      <c r="D51" s="14" t="s">
        <v>15</v>
      </c>
      <c r="E51" s="14" t="s">
        <v>16</v>
      </c>
      <c r="F51" s="29">
        <v>42375</v>
      </c>
      <c r="G51" s="71">
        <v>1.7940834000000003E-2</v>
      </c>
      <c r="H51" s="29">
        <v>42425</v>
      </c>
      <c r="I51" s="71">
        <v>1.7940834000000003E-2</v>
      </c>
      <c r="J51" s="15"/>
      <c r="K51" s="16"/>
      <c r="L51" s="15"/>
      <c r="M51" s="107"/>
      <c r="N51" s="17"/>
      <c r="O51" s="16"/>
      <c r="P51" s="18">
        <f t="shared" si="0"/>
        <v>3.5881668000000005E-2</v>
      </c>
    </row>
    <row r="52" spans="2:16" x14ac:dyDescent="0.25">
      <c r="B52" s="12" t="s">
        <v>90</v>
      </c>
      <c r="C52" s="13" t="s">
        <v>91</v>
      </c>
      <c r="D52" s="14" t="s">
        <v>15</v>
      </c>
      <c r="E52" s="14" t="s">
        <v>16</v>
      </c>
      <c r="F52" s="15">
        <v>42401</v>
      </c>
      <c r="G52" s="16">
        <v>0.05</v>
      </c>
      <c r="H52" s="15">
        <v>42488</v>
      </c>
      <c r="I52" s="16">
        <v>0.05</v>
      </c>
      <c r="J52" s="15">
        <v>42578</v>
      </c>
      <c r="K52" s="108">
        <v>5.5E-2</v>
      </c>
      <c r="L52" s="15">
        <v>42661</v>
      </c>
      <c r="M52" s="107">
        <v>4.4999999999999998E-2</v>
      </c>
      <c r="N52" s="17"/>
      <c r="O52" s="16"/>
      <c r="P52" s="18">
        <f t="shared" si="0"/>
        <v>0.2</v>
      </c>
    </row>
    <row r="53" spans="2:16" x14ac:dyDescent="0.25">
      <c r="B53" s="12" t="s">
        <v>92</v>
      </c>
      <c r="C53" s="13" t="s">
        <v>93</v>
      </c>
      <c r="D53" s="14" t="s">
        <v>15</v>
      </c>
      <c r="E53" s="14" t="s">
        <v>16</v>
      </c>
      <c r="F53" s="15">
        <v>42460</v>
      </c>
      <c r="G53" s="16">
        <v>2.63E-2</v>
      </c>
      <c r="H53" s="15"/>
      <c r="I53" s="16"/>
      <c r="J53" s="15"/>
      <c r="K53" s="16"/>
      <c r="L53" s="15"/>
      <c r="M53" s="107"/>
      <c r="N53" s="17"/>
      <c r="O53" s="16"/>
      <c r="P53" s="18">
        <f t="shared" si="0"/>
        <v>2.63E-2</v>
      </c>
    </row>
    <row r="54" spans="2:16" x14ac:dyDescent="0.25">
      <c r="B54" s="12" t="s">
        <v>94</v>
      </c>
      <c r="C54" s="13" t="s">
        <v>95</v>
      </c>
      <c r="D54" s="14" t="s">
        <v>15</v>
      </c>
      <c r="E54" s="14" t="s">
        <v>16</v>
      </c>
      <c r="F54" s="15">
        <v>42366</v>
      </c>
      <c r="G54" s="109">
        <v>5.2069999999999998E-2</v>
      </c>
      <c r="H54" s="15">
        <v>42450</v>
      </c>
      <c r="I54" s="16">
        <v>5.6489999999999999E-2</v>
      </c>
      <c r="J54" s="15">
        <v>42543</v>
      </c>
      <c r="K54" s="16">
        <v>5.1434000000000001E-2</v>
      </c>
      <c r="L54" s="15">
        <v>42636</v>
      </c>
      <c r="M54" s="107">
        <v>5.1434000000000001E-2</v>
      </c>
      <c r="N54" s="17"/>
      <c r="O54" s="16"/>
      <c r="P54" s="18">
        <f t="shared" si="0"/>
        <v>0.211428</v>
      </c>
    </row>
    <row r="55" spans="2:16" x14ac:dyDescent="0.25">
      <c r="B55" s="12" t="s">
        <v>96</v>
      </c>
      <c r="C55" s="13" t="s">
        <v>97</v>
      </c>
      <c r="D55" s="14" t="s">
        <v>15</v>
      </c>
      <c r="E55" s="14" t="s">
        <v>77</v>
      </c>
      <c r="F55" s="15">
        <v>42439</v>
      </c>
      <c r="G55" s="16">
        <v>3.5</v>
      </c>
      <c r="H55" s="15">
        <v>42593</v>
      </c>
      <c r="I55" s="16">
        <v>1</v>
      </c>
      <c r="J55" s="15"/>
      <c r="K55" s="16"/>
      <c r="L55" s="15"/>
      <c r="M55" s="104"/>
      <c r="N55" s="17"/>
      <c r="O55" s="16"/>
      <c r="P55" s="18">
        <f t="shared" si="0"/>
        <v>4.5</v>
      </c>
    </row>
    <row r="56" spans="2:16" x14ac:dyDescent="0.25">
      <c r="B56" s="12" t="s">
        <v>98</v>
      </c>
      <c r="C56" s="13" t="s">
        <v>99</v>
      </c>
      <c r="D56" s="14" t="s">
        <v>15</v>
      </c>
      <c r="E56" s="14" t="s">
        <v>16</v>
      </c>
      <c r="F56" s="15">
        <v>42492</v>
      </c>
      <c r="G56" s="16">
        <v>2.9</v>
      </c>
      <c r="H56" s="15"/>
      <c r="I56" s="16"/>
      <c r="J56" s="15"/>
      <c r="K56" s="16"/>
      <c r="L56" s="15"/>
      <c r="M56" s="104"/>
      <c r="N56" s="17"/>
      <c r="O56" s="16"/>
      <c r="P56" s="18">
        <f t="shared" si="0"/>
        <v>2.9</v>
      </c>
    </row>
    <row r="57" spans="2:16" x14ac:dyDescent="0.25">
      <c r="B57" s="12" t="s">
        <v>100</v>
      </c>
      <c r="C57" s="13" t="s">
        <v>101</v>
      </c>
      <c r="D57" s="14" t="s">
        <v>15</v>
      </c>
      <c r="E57" s="14" t="s">
        <v>16</v>
      </c>
      <c r="F57" s="15">
        <v>42492</v>
      </c>
      <c r="G57" s="16">
        <v>2.5</v>
      </c>
      <c r="H57" s="15"/>
      <c r="I57" s="16"/>
      <c r="J57" s="15"/>
      <c r="K57" s="16"/>
      <c r="L57" s="15"/>
      <c r="M57" s="104"/>
      <c r="N57" s="17"/>
      <c r="O57" s="16"/>
      <c r="P57" s="18">
        <f t="shared" si="0"/>
        <v>2.5</v>
      </c>
    </row>
    <row r="58" spans="2:16" x14ac:dyDescent="0.25">
      <c r="B58" s="12" t="s">
        <v>102</v>
      </c>
      <c r="C58" s="13" t="s">
        <v>103</v>
      </c>
      <c r="D58" s="14" t="s">
        <v>27</v>
      </c>
      <c r="E58" s="14" t="s">
        <v>16</v>
      </c>
      <c r="F58" s="110" t="s">
        <v>677</v>
      </c>
      <c r="G58" s="111" t="s">
        <v>661</v>
      </c>
      <c r="H58" s="112"/>
      <c r="I58" s="113"/>
      <c r="J58" s="112"/>
      <c r="K58" s="113"/>
      <c r="L58" s="112"/>
      <c r="M58" s="114"/>
      <c r="N58" s="115"/>
      <c r="O58" s="113"/>
      <c r="P58" s="116"/>
    </row>
    <row r="59" spans="2:16" x14ac:dyDescent="0.25">
      <c r="B59" s="12" t="s">
        <v>104</v>
      </c>
      <c r="C59" s="13" t="s">
        <v>105</v>
      </c>
      <c r="D59" s="14" t="s">
        <v>27</v>
      </c>
      <c r="E59" s="14" t="s">
        <v>16</v>
      </c>
      <c r="F59" s="15">
        <v>42502</v>
      </c>
      <c r="G59" s="16">
        <v>0.9</v>
      </c>
      <c r="H59" s="15"/>
      <c r="I59" s="16"/>
      <c r="J59" s="15"/>
      <c r="K59" s="16"/>
      <c r="L59" s="15"/>
      <c r="M59" s="104"/>
      <c r="N59" s="17"/>
      <c r="O59" s="16"/>
      <c r="P59" s="18">
        <f t="shared" si="0"/>
        <v>0.9</v>
      </c>
    </row>
    <row r="60" spans="2:16" x14ac:dyDescent="0.25">
      <c r="B60" s="12" t="s">
        <v>106</v>
      </c>
      <c r="C60" s="13" t="s">
        <v>107</v>
      </c>
      <c r="D60" s="14" t="s">
        <v>15</v>
      </c>
      <c r="E60" s="14" t="s">
        <v>56</v>
      </c>
      <c r="F60" s="15">
        <v>42439</v>
      </c>
      <c r="G60" s="16">
        <v>0.16</v>
      </c>
      <c r="H60" s="15">
        <v>42614</v>
      </c>
      <c r="I60" s="16">
        <v>0.14000000000000001</v>
      </c>
      <c r="J60" s="15"/>
      <c r="K60" s="16"/>
      <c r="L60" s="15"/>
      <c r="M60" s="104"/>
      <c r="N60" s="17"/>
      <c r="O60" s="16"/>
      <c r="P60" s="18">
        <f t="shared" si="0"/>
        <v>0.30000000000000004</v>
      </c>
    </row>
    <row r="61" spans="2:16" x14ac:dyDescent="0.25">
      <c r="B61" s="12" t="s">
        <v>108</v>
      </c>
      <c r="C61" s="13" t="s">
        <v>109</v>
      </c>
      <c r="D61" s="14" t="s">
        <v>15</v>
      </c>
      <c r="E61" s="14" t="s">
        <v>16</v>
      </c>
      <c r="F61" s="15">
        <v>42503</v>
      </c>
      <c r="G61" s="16">
        <v>3.2</v>
      </c>
      <c r="H61" s="15"/>
      <c r="I61" s="16"/>
      <c r="J61" s="15"/>
      <c r="K61" s="16"/>
      <c r="L61" s="15"/>
      <c r="M61" s="104"/>
      <c r="N61" s="17"/>
      <c r="O61" s="16"/>
      <c r="P61" s="18">
        <f t="shared" si="0"/>
        <v>3.2</v>
      </c>
    </row>
    <row r="62" spans="2:16" x14ac:dyDescent="0.25">
      <c r="B62" s="12" t="s">
        <v>110</v>
      </c>
      <c r="C62" s="13" t="s">
        <v>111</v>
      </c>
      <c r="D62" s="14" t="s">
        <v>24</v>
      </c>
      <c r="E62" s="14" t="s">
        <v>16</v>
      </c>
      <c r="F62" s="15">
        <v>42523</v>
      </c>
      <c r="G62" s="16">
        <v>2.31</v>
      </c>
      <c r="H62" s="15"/>
      <c r="I62" s="16"/>
      <c r="J62" s="15"/>
      <c r="K62" s="16"/>
      <c r="L62" s="15"/>
      <c r="M62" s="104"/>
      <c r="N62" s="17"/>
      <c r="O62" s="16"/>
      <c r="P62" s="18">
        <f t="shared" si="0"/>
        <v>2.31</v>
      </c>
    </row>
    <row r="63" spans="2:16" x14ac:dyDescent="0.25">
      <c r="B63" s="12" t="s">
        <v>114</v>
      </c>
      <c r="C63" s="13" t="s">
        <v>115</v>
      </c>
      <c r="D63" s="14" t="s">
        <v>24</v>
      </c>
      <c r="E63" s="14" t="s">
        <v>16</v>
      </c>
      <c r="F63" s="15">
        <v>42529</v>
      </c>
      <c r="G63" s="16">
        <v>0.04</v>
      </c>
      <c r="H63" s="15">
        <v>42625</v>
      </c>
      <c r="I63" s="16">
        <v>0.02</v>
      </c>
      <c r="J63" s="15"/>
      <c r="K63" s="16"/>
      <c r="L63" s="15"/>
      <c r="M63" s="104"/>
      <c r="N63" s="17"/>
      <c r="O63" s="16"/>
      <c r="P63" s="18">
        <f t="shared" si="0"/>
        <v>0.06</v>
      </c>
    </row>
    <row r="64" spans="2:16" x14ac:dyDescent="0.25">
      <c r="B64" s="12" t="s">
        <v>116</v>
      </c>
      <c r="C64" s="13" t="s">
        <v>117</v>
      </c>
      <c r="D64" s="14" t="s">
        <v>15</v>
      </c>
      <c r="E64" s="14" t="s">
        <v>16</v>
      </c>
      <c r="F64" s="15">
        <v>42367</v>
      </c>
      <c r="G64" s="16">
        <v>0.6</v>
      </c>
      <c r="H64" s="15">
        <v>42493</v>
      </c>
      <c r="I64" s="16">
        <v>0.93</v>
      </c>
      <c r="J64" s="15">
        <v>42626</v>
      </c>
      <c r="K64" s="16">
        <v>0.4</v>
      </c>
      <c r="L64" s="15"/>
      <c r="M64" s="104"/>
      <c r="N64" s="17"/>
      <c r="O64" s="16"/>
      <c r="P64" s="18">
        <f t="shared" si="0"/>
        <v>1.9300000000000002</v>
      </c>
    </row>
    <row r="65" spans="2:16" x14ac:dyDescent="0.25">
      <c r="B65" s="12" t="s">
        <v>118</v>
      </c>
      <c r="C65" s="13" t="s">
        <v>119</v>
      </c>
      <c r="D65" s="14" t="s">
        <v>15</v>
      </c>
      <c r="E65" s="14" t="s">
        <v>16</v>
      </c>
      <c r="F65" s="15">
        <v>42502</v>
      </c>
      <c r="G65" s="16">
        <v>1.6</v>
      </c>
      <c r="H65" s="15"/>
      <c r="I65" s="16"/>
      <c r="J65" s="15"/>
      <c r="K65" s="16"/>
      <c r="L65" s="15"/>
      <c r="M65" s="104"/>
      <c r="N65" s="17"/>
      <c r="O65" s="16"/>
      <c r="P65" s="18">
        <f t="shared" si="0"/>
        <v>1.6</v>
      </c>
    </row>
    <row r="66" spans="2:16" x14ac:dyDescent="0.25">
      <c r="B66" s="12" t="s">
        <v>120</v>
      </c>
      <c r="C66" s="13" t="s">
        <v>121</v>
      </c>
      <c r="D66" s="14" t="s">
        <v>24</v>
      </c>
      <c r="E66" s="14" t="s">
        <v>16</v>
      </c>
      <c r="F66" s="15">
        <v>42486</v>
      </c>
      <c r="G66" s="16">
        <v>1.6</v>
      </c>
      <c r="H66" s="15"/>
      <c r="I66" s="16"/>
      <c r="J66" s="15"/>
      <c r="K66" s="16"/>
      <c r="L66" s="15"/>
      <c r="M66" s="104"/>
      <c r="N66" s="17"/>
      <c r="O66" s="16"/>
      <c r="P66" s="18">
        <f t="shared" si="0"/>
        <v>1.6</v>
      </c>
    </row>
    <row r="67" spans="2:16" x14ac:dyDescent="0.25">
      <c r="B67" s="12" t="s">
        <v>122</v>
      </c>
      <c r="C67" s="13" t="s">
        <v>123</v>
      </c>
      <c r="D67" s="14" t="s">
        <v>15</v>
      </c>
      <c r="E67" s="14" t="s">
        <v>77</v>
      </c>
      <c r="F67" s="15">
        <v>42411</v>
      </c>
      <c r="G67" s="16">
        <v>6.8693</v>
      </c>
      <c r="H67" s="15">
        <v>42495</v>
      </c>
      <c r="I67" s="16">
        <v>6.8913000000000002</v>
      </c>
      <c r="J67" s="15">
        <v>42586</v>
      </c>
      <c r="K67" s="16">
        <v>7.4919642857142854</v>
      </c>
      <c r="L67" s="15">
        <v>42684</v>
      </c>
      <c r="M67" s="107">
        <v>8.0774810000000006</v>
      </c>
      <c r="N67" s="17"/>
      <c r="O67" s="16"/>
      <c r="P67" s="18">
        <f t="shared" si="0"/>
        <v>29.330045285714284</v>
      </c>
    </row>
    <row r="68" spans="2:16" x14ac:dyDescent="0.25">
      <c r="B68" s="12" t="s">
        <v>126</v>
      </c>
      <c r="C68" s="13" t="s">
        <v>127</v>
      </c>
      <c r="D68" s="14" t="s">
        <v>27</v>
      </c>
      <c r="E68" s="14" t="s">
        <v>16</v>
      </c>
      <c r="F68" s="15">
        <v>42507</v>
      </c>
      <c r="G68" s="16">
        <v>0.24</v>
      </c>
      <c r="H68" s="15">
        <v>42712</v>
      </c>
      <c r="I68" s="16">
        <v>1.06</v>
      </c>
      <c r="J68" s="15"/>
      <c r="K68" s="16"/>
      <c r="L68" s="15"/>
      <c r="M68" s="107"/>
      <c r="N68" s="17"/>
      <c r="O68" s="16"/>
      <c r="P68" s="18">
        <f t="shared" si="0"/>
        <v>1.3</v>
      </c>
    </row>
    <row r="69" spans="2:16" x14ac:dyDescent="0.25">
      <c r="B69" s="12" t="s">
        <v>128</v>
      </c>
      <c r="C69" s="13" t="s">
        <v>129</v>
      </c>
      <c r="D69" s="14" t="s">
        <v>15</v>
      </c>
      <c r="E69" s="14" t="s">
        <v>77</v>
      </c>
      <c r="F69" s="15">
        <v>42446</v>
      </c>
      <c r="G69" s="16">
        <v>104.6</v>
      </c>
      <c r="H69" s="15">
        <v>42600</v>
      </c>
      <c r="I69" s="16">
        <v>51.3</v>
      </c>
      <c r="J69" s="15"/>
      <c r="K69" s="16"/>
      <c r="L69" s="15"/>
      <c r="M69" s="107"/>
      <c r="N69" s="17"/>
      <c r="O69" s="16"/>
      <c r="P69" s="18">
        <f t="shared" si="0"/>
        <v>155.89999999999998</v>
      </c>
    </row>
    <row r="70" spans="2:16" x14ac:dyDescent="0.25">
      <c r="B70" s="12" t="s">
        <v>130</v>
      </c>
      <c r="C70" s="13" t="s">
        <v>131</v>
      </c>
      <c r="D70" s="14" t="s">
        <v>15</v>
      </c>
      <c r="E70" s="14" t="s">
        <v>77</v>
      </c>
      <c r="F70" s="15">
        <v>42362</v>
      </c>
      <c r="G70" s="16">
        <v>4.4000000000000004</v>
      </c>
      <c r="H70" s="15">
        <v>42593</v>
      </c>
      <c r="I70" s="16">
        <v>9.6</v>
      </c>
      <c r="J70" s="15"/>
      <c r="K70" s="16"/>
      <c r="L70" s="15"/>
      <c r="M70" s="107"/>
      <c r="N70" s="17"/>
      <c r="O70" s="16"/>
      <c r="P70" s="18">
        <f t="shared" si="0"/>
        <v>14</v>
      </c>
    </row>
    <row r="71" spans="2:16" x14ac:dyDescent="0.25">
      <c r="B71" s="12" t="s">
        <v>132</v>
      </c>
      <c r="C71" s="13" t="s">
        <v>133</v>
      </c>
      <c r="D71" s="14" t="s">
        <v>15</v>
      </c>
      <c r="E71" s="14" t="s">
        <v>16</v>
      </c>
      <c r="F71" s="15">
        <v>42362</v>
      </c>
      <c r="G71" s="16">
        <v>0.04</v>
      </c>
      <c r="H71" s="15">
        <v>42430</v>
      </c>
      <c r="I71" s="16">
        <v>0.04</v>
      </c>
      <c r="J71" s="15">
        <v>42517</v>
      </c>
      <c r="K71" s="16">
        <v>0.04</v>
      </c>
      <c r="L71" s="15">
        <v>42640</v>
      </c>
      <c r="M71" s="107">
        <v>0.03</v>
      </c>
      <c r="N71" s="17">
        <v>42696</v>
      </c>
      <c r="O71" s="16">
        <v>0.04</v>
      </c>
      <c r="P71" s="18">
        <f>G71+I71+K71+O71+M71</f>
        <v>0.19</v>
      </c>
    </row>
    <row r="72" spans="2:16" x14ac:dyDescent="0.25">
      <c r="B72" s="12" t="s">
        <v>656</v>
      </c>
      <c r="C72" s="13" t="s">
        <v>134</v>
      </c>
      <c r="D72" s="14" t="s">
        <v>24</v>
      </c>
      <c r="E72" s="14" t="s">
        <v>16</v>
      </c>
      <c r="F72" s="15">
        <v>42520</v>
      </c>
      <c r="G72" s="16">
        <v>1.35</v>
      </c>
      <c r="H72" s="15"/>
      <c r="I72" s="16"/>
      <c r="J72" s="15"/>
      <c r="K72" s="16"/>
      <c r="L72" s="15"/>
      <c r="M72" s="104"/>
      <c r="N72" s="17"/>
      <c r="O72" s="16"/>
      <c r="P72" s="18">
        <f t="shared" si="0"/>
        <v>1.35</v>
      </c>
    </row>
    <row r="73" spans="2:16" x14ac:dyDescent="0.25">
      <c r="B73" s="12" t="s">
        <v>135</v>
      </c>
      <c r="C73" s="13" t="s">
        <v>136</v>
      </c>
      <c r="D73" s="14" t="s">
        <v>24</v>
      </c>
      <c r="E73" s="14" t="s">
        <v>16</v>
      </c>
      <c r="F73" s="15">
        <v>42513</v>
      </c>
      <c r="G73" s="16">
        <v>0.7</v>
      </c>
      <c r="H73" s="15"/>
      <c r="I73" s="16"/>
      <c r="J73" s="15"/>
      <c r="K73" s="16"/>
      <c r="L73" s="15"/>
      <c r="M73" s="104"/>
      <c r="N73" s="17"/>
      <c r="O73" s="16"/>
      <c r="P73" s="18">
        <f t="shared" si="0"/>
        <v>0.7</v>
      </c>
    </row>
    <row r="74" spans="2:16" x14ac:dyDescent="0.25">
      <c r="B74" s="12" t="s">
        <v>137</v>
      </c>
      <c r="C74" s="13" t="s">
        <v>138</v>
      </c>
      <c r="D74" s="14" t="s">
        <v>24</v>
      </c>
      <c r="E74" s="14" t="s">
        <v>16</v>
      </c>
      <c r="F74" s="15">
        <v>42507</v>
      </c>
      <c r="G74" s="16">
        <v>3.12</v>
      </c>
      <c r="H74" s="15">
        <v>42702</v>
      </c>
      <c r="I74" s="16">
        <v>1.56</v>
      </c>
      <c r="J74" s="15"/>
      <c r="K74" s="16"/>
      <c r="L74" s="15"/>
      <c r="M74" s="104"/>
      <c r="N74" s="17"/>
      <c r="O74" s="16"/>
      <c r="P74" s="18">
        <f t="shared" si="0"/>
        <v>4.68</v>
      </c>
    </row>
    <row r="75" spans="2:16" x14ac:dyDescent="0.25">
      <c r="B75" s="12" t="s">
        <v>139</v>
      </c>
      <c r="C75" s="13" t="s">
        <v>140</v>
      </c>
      <c r="D75" s="14" t="s">
        <v>15</v>
      </c>
      <c r="E75" s="14" t="s">
        <v>77</v>
      </c>
      <c r="F75" s="15">
        <v>42502</v>
      </c>
      <c r="G75" s="16">
        <v>8.43</v>
      </c>
      <c r="H75" s="15">
        <v>42656</v>
      </c>
      <c r="I75" s="16">
        <v>3.6</v>
      </c>
      <c r="J75" s="15"/>
      <c r="K75" s="16"/>
      <c r="L75" s="15"/>
      <c r="M75" s="104"/>
      <c r="N75" s="17"/>
      <c r="O75" s="16"/>
      <c r="P75" s="18">
        <f t="shared" si="0"/>
        <v>12.03</v>
      </c>
    </row>
    <row r="76" spans="2:16" x14ac:dyDescent="0.25">
      <c r="B76" s="12" t="s">
        <v>151</v>
      </c>
      <c r="C76" s="13" t="s">
        <v>152</v>
      </c>
      <c r="D76" s="14" t="s">
        <v>15</v>
      </c>
      <c r="E76" s="14" t="s">
        <v>16</v>
      </c>
      <c r="F76" s="15">
        <v>42551</v>
      </c>
      <c r="G76" s="16">
        <v>0.4</v>
      </c>
      <c r="H76" s="15"/>
      <c r="I76" s="16"/>
      <c r="J76" s="15"/>
      <c r="K76" s="16"/>
      <c r="L76" s="15"/>
      <c r="M76" s="104"/>
      <c r="N76" s="17"/>
      <c r="O76" s="16"/>
      <c r="P76" s="18">
        <f t="shared" si="0"/>
        <v>0.4</v>
      </c>
    </row>
    <row r="77" spans="2:16" x14ac:dyDescent="0.25">
      <c r="B77" s="12" t="s">
        <v>153</v>
      </c>
      <c r="C77" s="13" t="s">
        <v>154</v>
      </c>
      <c r="D77" s="14" t="s">
        <v>27</v>
      </c>
      <c r="E77" s="14" t="s">
        <v>16</v>
      </c>
      <c r="F77" s="15">
        <v>42643</v>
      </c>
      <c r="G77" s="16">
        <v>1.1200000000000001</v>
      </c>
      <c r="H77" s="15"/>
      <c r="I77" s="16"/>
      <c r="J77" s="15"/>
      <c r="K77" s="16"/>
      <c r="L77" s="15"/>
      <c r="M77" s="104"/>
      <c r="N77" s="17"/>
      <c r="O77" s="16"/>
      <c r="P77" s="18">
        <f t="shared" si="0"/>
        <v>1.1200000000000001</v>
      </c>
    </row>
    <row r="78" spans="2:16" x14ac:dyDescent="0.25">
      <c r="B78" s="12" t="s">
        <v>156</v>
      </c>
      <c r="C78" s="13" t="s">
        <v>157</v>
      </c>
      <c r="D78" s="14" t="s">
        <v>15</v>
      </c>
      <c r="E78" s="14" t="s">
        <v>21</v>
      </c>
      <c r="F78" s="15">
        <v>42634</v>
      </c>
      <c r="G78" s="16">
        <v>1.7</v>
      </c>
      <c r="H78" s="15"/>
      <c r="I78" s="16"/>
      <c r="J78" s="15"/>
      <c r="K78" s="16"/>
      <c r="L78" s="15"/>
      <c r="M78" s="104"/>
      <c r="N78" s="17"/>
      <c r="O78" s="16"/>
      <c r="P78" s="18">
        <f t="shared" si="0"/>
        <v>1.7</v>
      </c>
    </row>
    <row r="79" spans="2:16" x14ac:dyDescent="0.25">
      <c r="B79" s="12" t="s">
        <v>158</v>
      </c>
      <c r="C79" s="13" t="s">
        <v>159</v>
      </c>
      <c r="D79" s="14" t="s">
        <v>15</v>
      </c>
      <c r="E79" s="14" t="s">
        <v>77</v>
      </c>
      <c r="F79" s="15">
        <v>42390</v>
      </c>
      <c r="G79" s="16">
        <v>19.600000000000001</v>
      </c>
      <c r="H79" s="15">
        <v>42544</v>
      </c>
      <c r="I79" s="16">
        <v>10.6</v>
      </c>
      <c r="J79" s="15"/>
      <c r="K79" s="16"/>
      <c r="L79" s="15"/>
      <c r="M79" s="104"/>
      <c r="N79" s="17"/>
      <c r="O79" s="16"/>
      <c r="P79" s="18">
        <f t="shared" si="0"/>
        <v>30.200000000000003</v>
      </c>
    </row>
    <row r="80" spans="2:16" x14ac:dyDescent="0.25">
      <c r="B80" s="12" t="s">
        <v>162</v>
      </c>
      <c r="C80" s="13" t="s">
        <v>163</v>
      </c>
      <c r="D80" s="14" t="s">
        <v>15</v>
      </c>
      <c r="E80" s="14" t="s">
        <v>16</v>
      </c>
      <c r="F80" s="15">
        <v>42492</v>
      </c>
      <c r="G80" s="16">
        <v>3.75</v>
      </c>
      <c r="H80" s="15"/>
      <c r="I80" s="16"/>
      <c r="J80" s="15"/>
      <c r="K80" s="16"/>
      <c r="L80" s="15"/>
      <c r="M80" s="104"/>
      <c r="N80" s="17"/>
      <c r="O80" s="16"/>
      <c r="P80" s="18">
        <f t="shared" si="0"/>
        <v>3.75</v>
      </c>
    </row>
    <row r="81" spans="2:16" x14ac:dyDescent="0.25">
      <c r="B81" s="12" t="s">
        <v>164</v>
      </c>
      <c r="C81" s="13" t="s">
        <v>165</v>
      </c>
      <c r="D81" s="14" t="s">
        <v>24</v>
      </c>
      <c r="E81" s="14" t="s">
        <v>16</v>
      </c>
      <c r="F81" s="15">
        <v>42517</v>
      </c>
      <c r="G81" s="16">
        <v>0.6</v>
      </c>
      <c r="H81" s="15"/>
      <c r="I81" s="16"/>
      <c r="J81" s="15"/>
      <c r="K81" s="16"/>
      <c r="L81" s="15"/>
      <c r="M81" s="104"/>
      <c r="N81" s="17"/>
      <c r="O81" s="16"/>
      <c r="P81" s="18">
        <f t="shared" ref="P81:P133" si="1">G81+I81+K81+O81+M81</f>
        <v>0.6</v>
      </c>
    </row>
    <row r="82" spans="2:16" x14ac:dyDescent="0.25">
      <c r="B82" s="12" t="s">
        <v>166</v>
      </c>
      <c r="C82" s="13" t="s">
        <v>167</v>
      </c>
      <c r="D82" s="14" t="s">
        <v>15</v>
      </c>
      <c r="E82" s="14" t="s">
        <v>21</v>
      </c>
      <c r="F82" s="15">
        <v>42509</v>
      </c>
      <c r="G82" s="16">
        <v>0.7</v>
      </c>
      <c r="H82" s="15"/>
      <c r="I82" s="16"/>
      <c r="J82" s="15"/>
      <c r="K82" s="16"/>
      <c r="L82" s="15"/>
      <c r="M82" s="104"/>
      <c r="N82" s="17"/>
      <c r="O82" s="16"/>
      <c r="P82" s="18">
        <f t="shared" si="1"/>
        <v>0.7</v>
      </c>
    </row>
    <row r="83" spans="2:16" x14ac:dyDescent="0.25">
      <c r="B83" s="12" t="s">
        <v>168</v>
      </c>
      <c r="C83" s="13" t="s">
        <v>169</v>
      </c>
      <c r="D83" s="14" t="s">
        <v>15</v>
      </c>
      <c r="E83" s="14" t="s">
        <v>16</v>
      </c>
      <c r="F83" s="15">
        <v>42439</v>
      </c>
      <c r="G83" s="16">
        <v>0.44</v>
      </c>
      <c r="H83" s="15">
        <v>42621</v>
      </c>
      <c r="I83" s="16">
        <v>0.188</v>
      </c>
      <c r="J83" s="15"/>
      <c r="K83" s="16"/>
      <c r="L83" s="15"/>
      <c r="M83" s="104"/>
      <c r="N83" s="17"/>
      <c r="O83" s="16"/>
      <c r="P83" s="18">
        <f t="shared" si="1"/>
        <v>0.628</v>
      </c>
    </row>
    <row r="84" spans="2:16" x14ac:dyDescent="0.25">
      <c r="B84" s="12" t="s">
        <v>170</v>
      </c>
      <c r="C84" s="13" t="s">
        <v>171</v>
      </c>
      <c r="D84" s="14" t="s">
        <v>15</v>
      </c>
      <c r="E84" s="14" t="s">
        <v>16</v>
      </c>
      <c r="F84" s="15">
        <v>42467</v>
      </c>
      <c r="G84" s="16">
        <v>3.25</v>
      </c>
      <c r="H84" s="15"/>
      <c r="I84" s="16"/>
      <c r="J84" s="15"/>
      <c r="K84" s="16"/>
      <c r="L84" s="15"/>
      <c r="M84" s="104"/>
      <c r="N84" s="17"/>
      <c r="O84" s="16"/>
      <c r="P84" s="18">
        <f t="shared" si="1"/>
        <v>3.25</v>
      </c>
    </row>
    <row r="85" spans="2:16" x14ac:dyDescent="0.25">
      <c r="B85" s="12" t="s">
        <v>172</v>
      </c>
      <c r="C85" s="13" t="s">
        <v>173</v>
      </c>
      <c r="D85" s="14" t="s">
        <v>24</v>
      </c>
      <c r="E85" s="14" t="s">
        <v>16</v>
      </c>
      <c r="F85" s="15">
        <v>42495</v>
      </c>
      <c r="G85" s="16">
        <v>1.6</v>
      </c>
      <c r="H85" s="15"/>
      <c r="I85" s="16"/>
      <c r="J85" s="15"/>
      <c r="K85" s="16"/>
      <c r="L85" s="15"/>
      <c r="M85" s="104"/>
      <c r="N85" s="17"/>
      <c r="O85" s="16"/>
      <c r="P85" s="18">
        <f t="shared" si="1"/>
        <v>1.6</v>
      </c>
    </row>
    <row r="86" spans="2:16" x14ac:dyDescent="0.25">
      <c r="B86" s="12" t="s">
        <v>658</v>
      </c>
      <c r="C86" s="13" t="s">
        <v>659</v>
      </c>
      <c r="D86" s="14" t="s">
        <v>15</v>
      </c>
      <c r="E86" s="14" t="s">
        <v>16</v>
      </c>
      <c r="F86" s="15">
        <v>42601</v>
      </c>
      <c r="G86" s="16">
        <v>0.1</v>
      </c>
      <c r="H86" s="15"/>
      <c r="I86" s="16"/>
      <c r="J86" s="15"/>
      <c r="K86" s="16"/>
      <c r="L86" s="15"/>
      <c r="M86" s="104"/>
      <c r="N86" s="17"/>
      <c r="O86" s="16"/>
      <c r="P86" s="18">
        <f t="shared" si="1"/>
        <v>0.1</v>
      </c>
    </row>
    <row r="87" spans="2:16" x14ac:dyDescent="0.25">
      <c r="B87" s="12" t="s">
        <v>174</v>
      </c>
      <c r="C87" s="13" t="s">
        <v>175</v>
      </c>
      <c r="D87" s="14" t="s">
        <v>15</v>
      </c>
      <c r="E87" s="14" t="s">
        <v>16</v>
      </c>
      <c r="F87" s="15"/>
      <c r="G87" s="16"/>
      <c r="H87" s="15"/>
      <c r="I87" s="16"/>
      <c r="J87" s="15"/>
      <c r="K87" s="16"/>
      <c r="L87" s="15"/>
      <c r="M87" s="104"/>
      <c r="N87" s="17"/>
      <c r="O87" s="16"/>
      <c r="P87" s="18">
        <f t="shared" si="1"/>
        <v>0</v>
      </c>
    </row>
    <row r="88" spans="2:16" x14ac:dyDescent="0.25">
      <c r="B88" s="12" t="s">
        <v>176</v>
      </c>
      <c r="C88" s="13" t="s">
        <v>177</v>
      </c>
      <c r="D88" s="14" t="s">
        <v>15</v>
      </c>
      <c r="E88" s="14" t="s">
        <v>16</v>
      </c>
      <c r="F88" s="15">
        <v>42502</v>
      </c>
      <c r="G88" s="16">
        <v>2.25</v>
      </c>
      <c r="H88" s="15"/>
      <c r="I88" s="16"/>
      <c r="J88" s="15"/>
      <c r="K88" s="16"/>
      <c r="L88" s="15"/>
      <c r="M88" s="104"/>
      <c r="N88" s="17"/>
      <c r="O88" s="16"/>
      <c r="P88" s="18">
        <f t="shared" si="1"/>
        <v>2.25</v>
      </c>
    </row>
    <row r="89" spans="2:16" x14ac:dyDescent="0.25">
      <c r="B89" s="12" t="s">
        <v>178</v>
      </c>
      <c r="C89" s="13" t="s">
        <v>179</v>
      </c>
      <c r="D89" s="14" t="s">
        <v>15</v>
      </c>
      <c r="E89" s="14" t="s">
        <v>16</v>
      </c>
      <c r="F89" s="15">
        <v>42489</v>
      </c>
      <c r="G89" s="16">
        <v>0.5</v>
      </c>
      <c r="H89" s="15"/>
      <c r="I89" s="16"/>
      <c r="J89" s="15"/>
      <c r="K89" s="16"/>
      <c r="L89" s="15"/>
      <c r="M89" s="104"/>
      <c r="N89" s="17"/>
      <c r="O89" s="16"/>
      <c r="P89" s="18">
        <f t="shared" si="1"/>
        <v>0.5</v>
      </c>
    </row>
    <row r="90" spans="2:16" x14ac:dyDescent="0.25">
      <c r="B90" s="12" t="s">
        <v>180</v>
      </c>
      <c r="C90" s="13" t="s">
        <v>181</v>
      </c>
      <c r="D90" s="14" t="s">
        <v>15</v>
      </c>
      <c r="E90" s="14" t="s">
        <v>16</v>
      </c>
      <c r="F90" s="15">
        <v>42509</v>
      </c>
      <c r="G90" s="16">
        <v>0.85</v>
      </c>
      <c r="H90" s="15"/>
      <c r="I90" s="16"/>
      <c r="J90" s="15"/>
      <c r="K90" s="16"/>
      <c r="L90" s="15"/>
      <c r="M90" s="104"/>
      <c r="N90" s="17"/>
      <c r="O90" s="16"/>
      <c r="P90" s="18">
        <f t="shared" si="1"/>
        <v>0.85</v>
      </c>
    </row>
    <row r="91" spans="2:16" x14ac:dyDescent="0.25">
      <c r="B91" s="12" t="s">
        <v>182</v>
      </c>
      <c r="C91" s="13" t="s">
        <v>183</v>
      </c>
      <c r="D91" s="14" t="s">
        <v>15</v>
      </c>
      <c r="E91" s="14" t="s">
        <v>16</v>
      </c>
      <c r="F91" s="15">
        <v>42516</v>
      </c>
      <c r="G91" s="16">
        <v>0.55000000000000004</v>
      </c>
      <c r="H91" s="15"/>
      <c r="I91" s="16"/>
      <c r="J91" s="15"/>
      <c r="K91" s="16"/>
      <c r="L91" s="15"/>
      <c r="M91" s="104"/>
      <c r="N91" s="17"/>
      <c r="O91" s="16"/>
      <c r="P91" s="18">
        <f t="shared" si="1"/>
        <v>0.55000000000000004</v>
      </c>
    </row>
    <row r="92" spans="2:16" x14ac:dyDescent="0.25">
      <c r="B92" s="12" t="s">
        <v>184</v>
      </c>
      <c r="C92" s="13" t="s">
        <v>185</v>
      </c>
      <c r="D92" s="14" t="s">
        <v>15</v>
      </c>
      <c r="E92" s="14" t="s">
        <v>77</v>
      </c>
      <c r="F92" s="15">
        <v>42425</v>
      </c>
      <c r="G92" s="16">
        <v>22.6</v>
      </c>
      <c r="H92" s="15">
        <v>42593</v>
      </c>
      <c r="I92" s="16">
        <v>36.6</v>
      </c>
      <c r="J92" s="15"/>
      <c r="K92" s="16"/>
      <c r="L92" s="15"/>
      <c r="M92" s="104"/>
      <c r="N92" s="17"/>
      <c r="O92" s="16"/>
      <c r="P92" s="18">
        <f t="shared" si="1"/>
        <v>59.2</v>
      </c>
    </row>
    <row r="93" spans="2:16" x14ac:dyDescent="0.25">
      <c r="B93" s="12" t="s">
        <v>186</v>
      </c>
      <c r="C93" s="13" t="s">
        <v>187</v>
      </c>
      <c r="D93" s="14" t="s">
        <v>27</v>
      </c>
      <c r="E93" s="14" t="s">
        <v>16</v>
      </c>
      <c r="F93" s="15">
        <v>42521</v>
      </c>
      <c r="G93" s="16">
        <v>0.9</v>
      </c>
      <c r="H93" s="15"/>
      <c r="I93" s="16"/>
      <c r="J93" s="15"/>
      <c r="K93" s="16"/>
      <c r="L93" s="15"/>
      <c r="M93" s="104"/>
      <c r="N93" s="17"/>
      <c r="O93" s="16"/>
      <c r="P93" s="18">
        <f t="shared" si="1"/>
        <v>0.9</v>
      </c>
    </row>
    <row r="94" spans="2:16" x14ac:dyDescent="0.25">
      <c r="B94" s="12" t="s">
        <v>188</v>
      </c>
      <c r="C94" s="13" t="s">
        <v>189</v>
      </c>
      <c r="D94" s="14" t="s">
        <v>15</v>
      </c>
      <c r="E94" s="14" t="s">
        <v>16</v>
      </c>
      <c r="F94" s="15">
        <v>42562</v>
      </c>
      <c r="G94" s="16">
        <v>0.2</v>
      </c>
      <c r="H94" s="15"/>
      <c r="I94" s="16"/>
      <c r="J94" s="15"/>
      <c r="K94" s="16"/>
      <c r="L94" s="15"/>
      <c r="M94" s="104"/>
      <c r="N94" s="17"/>
      <c r="O94" s="16"/>
      <c r="P94" s="18">
        <f t="shared" si="1"/>
        <v>0.2</v>
      </c>
    </row>
    <row r="95" spans="2:16" x14ac:dyDescent="0.25">
      <c r="B95" s="12" t="s">
        <v>190</v>
      </c>
      <c r="C95" s="13" t="s">
        <v>191</v>
      </c>
      <c r="D95" s="14" t="s">
        <v>15</v>
      </c>
      <c r="E95" s="14" t="s">
        <v>16</v>
      </c>
      <c r="F95" s="15">
        <v>42493</v>
      </c>
      <c r="G95" s="16">
        <v>1.1000000000000001</v>
      </c>
      <c r="H95" s="15">
        <v>42586</v>
      </c>
      <c r="I95" s="16">
        <v>0.55000000000000004</v>
      </c>
      <c r="J95" s="15"/>
      <c r="K95" s="16"/>
      <c r="L95" s="15"/>
      <c r="M95" s="104"/>
      <c r="N95" s="17"/>
      <c r="O95" s="16"/>
      <c r="P95" s="18">
        <f t="shared" si="1"/>
        <v>1.6500000000000001</v>
      </c>
    </row>
    <row r="96" spans="2:16" x14ac:dyDescent="0.25">
      <c r="B96" s="12" t="s">
        <v>194</v>
      </c>
      <c r="C96" s="13" t="s">
        <v>195</v>
      </c>
      <c r="D96" s="14" t="s">
        <v>15</v>
      </c>
      <c r="E96" s="14" t="s">
        <v>16</v>
      </c>
      <c r="F96" s="110" t="s">
        <v>677</v>
      </c>
      <c r="G96" s="111" t="s">
        <v>661</v>
      </c>
      <c r="H96" s="112"/>
      <c r="I96" s="113"/>
      <c r="J96" s="112"/>
      <c r="K96" s="113"/>
      <c r="L96" s="112"/>
      <c r="M96" s="114"/>
      <c r="N96" s="115"/>
      <c r="O96" s="113"/>
      <c r="P96" s="116"/>
    </row>
    <row r="97" spans="1:17" x14ac:dyDescent="0.25">
      <c r="B97" s="12" t="s">
        <v>196</v>
      </c>
      <c r="C97" s="13" t="s">
        <v>197</v>
      </c>
      <c r="D97" s="14" t="s">
        <v>24</v>
      </c>
      <c r="E97" s="14" t="s">
        <v>16</v>
      </c>
      <c r="F97" s="15">
        <v>42527</v>
      </c>
      <c r="G97" s="16">
        <v>0.53</v>
      </c>
      <c r="H97" s="15">
        <v>42648</v>
      </c>
      <c r="I97" s="16">
        <v>0.5</v>
      </c>
      <c r="J97" s="15"/>
      <c r="K97" s="16"/>
      <c r="L97" s="15"/>
      <c r="M97" s="104"/>
      <c r="N97" s="17"/>
      <c r="O97" s="16"/>
      <c r="P97" s="18">
        <f t="shared" si="1"/>
        <v>1.03</v>
      </c>
    </row>
    <row r="98" spans="1:17" x14ac:dyDescent="0.25">
      <c r="B98" s="117" t="s">
        <v>198</v>
      </c>
      <c r="C98" s="13" t="s">
        <v>199</v>
      </c>
      <c r="D98" s="14" t="s">
        <v>15</v>
      </c>
      <c r="E98" s="14" t="s">
        <v>200</v>
      </c>
      <c r="F98" s="110" t="s">
        <v>677</v>
      </c>
      <c r="G98" s="111" t="s">
        <v>661</v>
      </c>
      <c r="H98" s="112"/>
      <c r="I98" s="113"/>
      <c r="J98" s="112"/>
      <c r="K98" s="113"/>
      <c r="L98" s="112"/>
      <c r="M98" s="114"/>
      <c r="N98" s="115"/>
      <c r="O98" s="113"/>
      <c r="P98" s="116"/>
    </row>
    <row r="99" spans="1:17" x14ac:dyDescent="0.25">
      <c r="A99" s="33"/>
      <c r="B99" s="37" t="s">
        <v>201</v>
      </c>
      <c r="C99" s="13" t="s">
        <v>202</v>
      </c>
      <c r="D99" s="14" t="s">
        <v>27</v>
      </c>
      <c r="E99" s="14" t="s">
        <v>16</v>
      </c>
      <c r="F99" s="15">
        <v>42520</v>
      </c>
      <c r="G99" s="16">
        <v>1.55</v>
      </c>
      <c r="H99" s="15"/>
      <c r="I99" s="16"/>
      <c r="J99" s="15"/>
      <c r="K99" s="16"/>
      <c r="L99" s="15"/>
      <c r="M99" s="104"/>
      <c r="N99" s="17"/>
      <c r="O99" s="16"/>
      <c r="P99" s="18">
        <f t="shared" si="1"/>
        <v>1.55</v>
      </c>
      <c r="Q99" s="36"/>
    </row>
    <row r="100" spans="1:17" x14ac:dyDescent="0.25">
      <c r="A100" s="33"/>
      <c r="B100" s="37" t="s">
        <v>205</v>
      </c>
      <c r="C100" s="13" t="s">
        <v>206</v>
      </c>
      <c r="D100" s="14" t="s">
        <v>15</v>
      </c>
      <c r="E100" s="14" t="s">
        <v>16</v>
      </c>
      <c r="F100" s="15">
        <v>42551</v>
      </c>
      <c r="G100" s="16">
        <v>0.79200000000000004</v>
      </c>
      <c r="H100" s="15"/>
      <c r="I100" s="16"/>
      <c r="J100" s="15"/>
      <c r="K100" s="16"/>
      <c r="L100" s="15"/>
      <c r="M100" s="104"/>
      <c r="N100" s="17"/>
      <c r="O100" s="16"/>
      <c r="P100" s="18">
        <f t="shared" si="1"/>
        <v>0.79200000000000004</v>
      </c>
      <c r="Q100" s="36"/>
    </row>
    <row r="101" spans="1:17" x14ac:dyDescent="0.25">
      <c r="A101" s="33"/>
      <c r="B101" s="37" t="s">
        <v>207</v>
      </c>
      <c r="C101" s="13" t="s">
        <v>208</v>
      </c>
      <c r="D101" s="14" t="s">
        <v>15</v>
      </c>
      <c r="E101" s="14" t="s">
        <v>16</v>
      </c>
      <c r="F101" s="15">
        <v>42373</v>
      </c>
      <c r="G101" s="16">
        <v>0.4</v>
      </c>
      <c r="H101" s="15">
        <v>42549</v>
      </c>
      <c r="I101" s="16">
        <v>0.626</v>
      </c>
      <c r="J101" s="15"/>
      <c r="K101" s="16"/>
      <c r="L101" s="15"/>
      <c r="M101" s="104"/>
      <c r="N101" s="17"/>
      <c r="O101" s="16"/>
      <c r="P101" s="18">
        <f t="shared" si="1"/>
        <v>1.026</v>
      </c>
      <c r="Q101" s="36"/>
    </row>
    <row r="102" spans="1:17" x14ac:dyDescent="0.25">
      <c r="A102" s="33"/>
      <c r="B102" s="37" t="s">
        <v>209</v>
      </c>
      <c r="C102" s="13" t="s">
        <v>210</v>
      </c>
      <c r="D102" s="14" t="s">
        <v>15</v>
      </c>
      <c r="E102" s="14" t="s">
        <v>16</v>
      </c>
      <c r="F102" s="15">
        <v>42541</v>
      </c>
      <c r="G102" s="16">
        <v>0.16</v>
      </c>
      <c r="H102" s="15"/>
      <c r="I102" s="16"/>
      <c r="J102" s="15"/>
      <c r="K102" s="16"/>
      <c r="L102" s="15"/>
      <c r="M102" s="104"/>
      <c r="N102" s="17"/>
      <c r="O102" s="16"/>
      <c r="P102" s="18">
        <f t="shared" si="1"/>
        <v>0.16</v>
      </c>
      <c r="Q102" s="36"/>
    </row>
    <row r="103" spans="1:17" x14ac:dyDescent="0.25">
      <c r="B103" s="12" t="s">
        <v>211</v>
      </c>
      <c r="C103" s="13" t="s">
        <v>212</v>
      </c>
      <c r="D103" s="14" t="s">
        <v>24</v>
      </c>
      <c r="E103" s="14" t="s">
        <v>16</v>
      </c>
      <c r="F103" s="15">
        <v>42495</v>
      </c>
      <c r="G103" s="16">
        <v>0.5</v>
      </c>
      <c r="H103" s="15">
        <v>42655</v>
      </c>
      <c r="I103" s="16">
        <v>0.5</v>
      </c>
      <c r="J103" s="15"/>
      <c r="K103" s="16"/>
      <c r="L103" s="15"/>
      <c r="M103" s="104"/>
      <c r="N103" s="17"/>
      <c r="O103" s="16"/>
      <c r="P103" s="18">
        <f t="shared" si="1"/>
        <v>1</v>
      </c>
    </row>
    <row r="104" spans="1:17" x14ac:dyDescent="0.25">
      <c r="B104" s="12" t="s">
        <v>213</v>
      </c>
      <c r="C104" s="13" t="s">
        <v>214</v>
      </c>
      <c r="D104" s="14" t="s">
        <v>15</v>
      </c>
      <c r="E104" s="14" t="s">
        <v>16</v>
      </c>
      <c r="F104" s="15">
        <v>42513</v>
      </c>
      <c r="G104" s="16">
        <v>0.4</v>
      </c>
      <c r="H104" s="15">
        <v>42632</v>
      </c>
      <c r="I104" s="16">
        <v>0.4</v>
      </c>
      <c r="J104" s="15"/>
      <c r="K104" s="16"/>
      <c r="L104" s="15"/>
      <c r="M104" s="104"/>
      <c r="N104" s="17"/>
      <c r="O104" s="16"/>
      <c r="P104" s="18">
        <f t="shared" si="1"/>
        <v>0.8</v>
      </c>
    </row>
    <row r="105" spans="1:17" x14ac:dyDescent="0.25">
      <c r="B105" s="12" t="s">
        <v>215</v>
      </c>
      <c r="C105" s="13" t="s">
        <v>216</v>
      </c>
      <c r="D105" s="14" t="s">
        <v>15</v>
      </c>
      <c r="E105" s="14" t="s">
        <v>200</v>
      </c>
      <c r="F105" s="110" t="s">
        <v>677</v>
      </c>
      <c r="G105" s="111" t="s">
        <v>661</v>
      </c>
      <c r="H105" s="112"/>
      <c r="I105" s="113"/>
      <c r="J105" s="112"/>
      <c r="K105" s="113"/>
      <c r="L105" s="112"/>
      <c r="M105" s="114"/>
      <c r="N105" s="115"/>
      <c r="O105" s="113"/>
      <c r="P105" s="116"/>
    </row>
    <row r="106" spans="1:17" x14ac:dyDescent="0.25">
      <c r="B106" s="12" t="s">
        <v>217</v>
      </c>
      <c r="C106" s="13" t="s">
        <v>218</v>
      </c>
      <c r="D106" s="14" t="s">
        <v>24</v>
      </c>
      <c r="E106" s="14" t="s">
        <v>16</v>
      </c>
      <c r="F106" s="15">
        <v>42507</v>
      </c>
      <c r="G106" s="16">
        <v>1.1100000000000001</v>
      </c>
      <c r="H106" s="15"/>
      <c r="I106" s="16"/>
      <c r="J106" s="15"/>
      <c r="K106" s="16"/>
      <c r="L106" s="15"/>
      <c r="M106" s="104"/>
      <c r="N106" s="17"/>
      <c r="O106" s="16"/>
      <c r="P106" s="18">
        <f t="shared" si="1"/>
        <v>1.1100000000000001</v>
      </c>
    </row>
    <row r="107" spans="1:17" x14ac:dyDescent="0.25">
      <c r="B107" s="12" t="s">
        <v>219</v>
      </c>
      <c r="C107" s="13" t="s">
        <v>220</v>
      </c>
      <c r="D107" s="14" t="s">
        <v>24</v>
      </c>
      <c r="E107" s="14" t="s">
        <v>16</v>
      </c>
      <c r="F107" s="15">
        <v>42690</v>
      </c>
      <c r="G107" s="16">
        <v>1.1000000000000001</v>
      </c>
      <c r="H107" s="15"/>
      <c r="I107" s="16"/>
      <c r="J107" s="15"/>
      <c r="K107" s="16"/>
      <c r="L107" s="15"/>
      <c r="M107" s="104"/>
      <c r="N107" s="17"/>
      <c r="O107" s="16"/>
      <c r="P107" s="18">
        <f t="shared" si="1"/>
        <v>1.1000000000000001</v>
      </c>
    </row>
    <row r="108" spans="1:17" x14ac:dyDescent="0.25">
      <c r="B108" s="12" t="s">
        <v>221</v>
      </c>
      <c r="C108" s="13" t="s">
        <v>222</v>
      </c>
      <c r="D108" s="14" t="s">
        <v>15</v>
      </c>
      <c r="E108" s="14" t="s">
        <v>56</v>
      </c>
      <c r="F108" s="15">
        <v>42369</v>
      </c>
      <c r="G108" s="16">
        <v>0.125</v>
      </c>
      <c r="H108" s="15">
        <v>42544</v>
      </c>
      <c r="I108" s="16">
        <v>0.27500000000000002</v>
      </c>
      <c r="J108" s="15"/>
      <c r="K108" s="16"/>
      <c r="L108" s="15"/>
      <c r="M108" s="104"/>
      <c r="N108" s="17"/>
      <c r="O108" s="16"/>
      <c r="P108" s="18">
        <f t="shared" si="1"/>
        <v>0.4</v>
      </c>
    </row>
    <row r="109" spans="1:17" x14ac:dyDescent="0.25">
      <c r="B109" s="12" t="s">
        <v>225</v>
      </c>
      <c r="C109" s="13" t="s">
        <v>226</v>
      </c>
      <c r="D109" s="14" t="s">
        <v>15</v>
      </c>
      <c r="E109" s="14" t="s">
        <v>16</v>
      </c>
      <c r="F109" s="15">
        <v>42517</v>
      </c>
      <c r="G109" s="16">
        <v>0.311</v>
      </c>
      <c r="H109" s="15">
        <v>42674</v>
      </c>
      <c r="I109" s="16">
        <v>0.40799999999999997</v>
      </c>
      <c r="J109" s="15"/>
      <c r="K109" s="16"/>
      <c r="L109" s="15"/>
      <c r="M109" s="104"/>
      <c r="N109" s="17"/>
      <c r="O109" s="16"/>
      <c r="P109" s="18">
        <f t="shared" si="1"/>
        <v>0.71899999999999997</v>
      </c>
    </row>
    <row r="110" spans="1:17" x14ac:dyDescent="0.25">
      <c r="B110" s="12" t="s">
        <v>229</v>
      </c>
      <c r="C110" s="13" t="s">
        <v>230</v>
      </c>
      <c r="D110" s="14" t="s">
        <v>15</v>
      </c>
      <c r="E110" s="14" t="s">
        <v>16</v>
      </c>
      <c r="F110" s="15">
        <v>42466</v>
      </c>
      <c r="G110" s="16">
        <v>1.1000000000000001</v>
      </c>
      <c r="H110" s="15"/>
      <c r="I110" s="16"/>
      <c r="J110" s="15"/>
      <c r="K110" s="16"/>
      <c r="L110" s="15"/>
      <c r="M110" s="104"/>
      <c r="N110" s="17"/>
      <c r="O110" s="16"/>
      <c r="P110" s="18">
        <f t="shared" si="1"/>
        <v>1.1000000000000001</v>
      </c>
    </row>
    <row r="111" spans="1:17" x14ac:dyDescent="0.25">
      <c r="B111" s="12" t="s">
        <v>231</v>
      </c>
      <c r="C111" s="13" t="s">
        <v>232</v>
      </c>
      <c r="D111" s="14" t="s">
        <v>15</v>
      </c>
      <c r="E111" s="14" t="s">
        <v>16</v>
      </c>
      <c r="F111" s="15">
        <v>42506</v>
      </c>
      <c r="G111" s="16">
        <v>0.55000000000000004</v>
      </c>
      <c r="H111" s="15"/>
      <c r="I111" s="16"/>
      <c r="J111" s="15"/>
      <c r="K111" s="16"/>
      <c r="L111" s="15"/>
      <c r="M111" s="104"/>
      <c r="N111" s="17"/>
      <c r="O111" s="16"/>
      <c r="P111" s="18">
        <f t="shared" si="1"/>
        <v>0.55000000000000004</v>
      </c>
    </row>
    <row r="112" spans="1:17" x14ac:dyDescent="0.25">
      <c r="B112" s="12" t="s">
        <v>233</v>
      </c>
      <c r="C112" s="13" t="s">
        <v>234</v>
      </c>
      <c r="D112" s="14" t="s">
        <v>15</v>
      </c>
      <c r="E112" s="14" t="s">
        <v>16</v>
      </c>
      <c r="F112" s="15"/>
      <c r="G112" s="16"/>
      <c r="H112" s="15"/>
      <c r="I112" s="16"/>
      <c r="J112" s="15"/>
      <c r="K112" s="16"/>
      <c r="L112" s="15"/>
      <c r="M112" s="104"/>
      <c r="N112" s="17"/>
      <c r="O112" s="16"/>
      <c r="P112" s="18">
        <f t="shared" si="1"/>
        <v>0</v>
      </c>
    </row>
    <row r="113" spans="2:16" x14ac:dyDescent="0.25">
      <c r="B113" s="12" t="s">
        <v>235</v>
      </c>
      <c r="C113" s="13" t="s">
        <v>236</v>
      </c>
      <c r="D113" s="14" t="s">
        <v>237</v>
      </c>
      <c r="E113" s="14" t="s">
        <v>16</v>
      </c>
      <c r="F113" s="15">
        <v>42515</v>
      </c>
      <c r="G113" s="109">
        <v>0.20735999999999999</v>
      </c>
      <c r="H113" s="15">
        <v>42635</v>
      </c>
      <c r="I113" s="16">
        <v>0.248832</v>
      </c>
      <c r="J113" s="15"/>
      <c r="K113" s="16"/>
      <c r="L113" s="15"/>
      <c r="M113" s="104"/>
      <c r="N113" s="17"/>
      <c r="O113" s="16"/>
      <c r="P113" s="18">
        <f t="shared" si="1"/>
        <v>0.45619199999999999</v>
      </c>
    </row>
    <row r="114" spans="2:16" x14ac:dyDescent="0.25">
      <c r="B114" s="12" t="s">
        <v>238</v>
      </c>
      <c r="C114" s="13" t="s">
        <v>239</v>
      </c>
      <c r="D114" s="14" t="s">
        <v>15</v>
      </c>
      <c r="E114" s="14" t="s">
        <v>16</v>
      </c>
      <c r="F114" s="15">
        <v>42377</v>
      </c>
      <c r="G114" s="16">
        <v>0.4078</v>
      </c>
      <c r="H114" s="15">
        <v>42548</v>
      </c>
      <c r="I114" s="16">
        <v>0.59219999999999995</v>
      </c>
      <c r="J114" s="15">
        <v>42635</v>
      </c>
      <c r="K114" s="16">
        <v>0.33</v>
      </c>
      <c r="L114" s="15"/>
      <c r="M114" s="104"/>
      <c r="N114" s="17"/>
      <c r="O114" s="16"/>
      <c r="P114" s="18">
        <f t="shared" si="1"/>
        <v>1.33</v>
      </c>
    </row>
    <row r="115" spans="2:16" x14ac:dyDescent="0.25">
      <c r="B115" s="12" t="s">
        <v>242</v>
      </c>
      <c r="C115" s="13" t="s">
        <v>243</v>
      </c>
      <c r="D115" s="14" t="s">
        <v>15</v>
      </c>
      <c r="E115" s="14" t="s">
        <v>21</v>
      </c>
      <c r="F115" s="15">
        <v>42468</v>
      </c>
      <c r="G115" s="16">
        <v>8.4</v>
      </c>
      <c r="H115" s="15"/>
      <c r="I115" s="16"/>
      <c r="J115" s="15"/>
      <c r="K115" s="16"/>
      <c r="L115" s="15"/>
      <c r="M115" s="104"/>
      <c r="N115" s="17"/>
      <c r="O115" s="16"/>
      <c r="P115" s="18">
        <f t="shared" si="1"/>
        <v>8.4</v>
      </c>
    </row>
    <row r="116" spans="2:16" x14ac:dyDescent="0.25">
      <c r="B116" s="12" t="s">
        <v>244</v>
      </c>
      <c r="C116" s="13" t="s">
        <v>245</v>
      </c>
      <c r="D116" s="14" t="s">
        <v>15</v>
      </c>
      <c r="E116" s="14" t="s">
        <v>16</v>
      </c>
      <c r="F116" s="15">
        <v>42514</v>
      </c>
      <c r="G116" s="16">
        <v>0.47</v>
      </c>
      <c r="H116" s="15"/>
      <c r="I116" s="16"/>
      <c r="J116" s="15"/>
      <c r="K116" s="16"/>
      <c r="L116" s="15"/>
      <c r="M116" s="104"/>
      <c r="N116" s="17"/>
      <c r="O116" s="16"/>
      <c r="P116" s="18">
        <f t="shared" si="1"/>
        <v>0.47</v>
      </c>
    </row>
    <row r="117" spans="2:16" x14ac:dyDescent="0.25">
      <c r="B117" s="12" t="s">
        <v>248</v>
      </c>
      <c r="C117" s="13" t="s">
        <v>249</v>
      </c>
      <c r="D117" s="14" t="s">
        <v>15</v>
      </c>
      <c r="E117" s="14" t="s">
        <v>21</v>
      </c>
      <c r="F117" s="15">
        <v>42450</v>
      </c>
      <c r="G117" s="16">
        <v>54</v>
      </c>
      <c r="H117" s="15"/>
      <c r="I117" s="16"/>
      <c r="J117" s="15"/>
      <c r="K117" s="16"/>
      <c r="L117" s="15"/>
      <c r="M117" s="104"/>
      <c r="N117" s="17"/>
      <c r="O117" s="16"/>
      <c r="P117" s="18">
        <f t="shared" si="1"/>
        <v>54</v>
      </c>
    </row>
    <row r="118" spans="2:16" x14ac:dyDescent="0.25">
      <c r="B118" s="12" t="s">
        <v>250</v>
      </c>
      <c r="C118" s="13" t="s">
        <v>251</v>
      </c>
      <c r="D118" s="14" t="s">
        <v>15</v>
      </c>
      <c r="E118" s="14" t="s">
        <v>77</v>
      </c>
      <c r="F118" s="29">
        <v>42418</v>
      </c>
      <c r="G118" s="71">
        <v>22.671700000000001</v>
      </c>
      <c r="H118" s="15">
        <v>42502</v>
      </c>
      <c r="I118" s="16">
        <v>19</v>
      </c>
      <c r="J118" s="15">
        <v>42593</v>
      </c>
      <c r="K118" s="16">
        <v>19</v>
      </c>
      <c r="L118" s="15">
        <v>42677</v>
      </c>
      <c r="M118" s="16">
        <v>19</v>
      </c>
      <c r="N118" s="17"/>
      <c r="O118" s="16"/>
      <c r="P118" s="18">
        <f t="shared" si="1"/>
        <v>79.671700000000001</v>
      </c>
    </row>
    <row r="119" spans="2:16" x14ac:dyDescent="0.25">
      <c r="B119" s="12" t="s">
        <v>252</v>
      </c>
      <c r="C119" s="13" t="s">
        <v>253</v>
      </c>
      <c r="D119" s="14" t="s">
        <v>15</v>
      </c>
      <c r="E119" s="14" t="s">
        <v>56</v>
      </c>
      <c r="F119" s="15"/>
      <c r="G119" s="16"/>
      <c r="H119" s="15"/>
      <c r="I119" s="16"/>
      <c r="J119" s="15"/>
      <c r="K119" s="16"/>
      <c r="L119" s="15"/>
      <c r="M119" s="16"/>
      <c r="N119" s="17"/>
      <c r="O119" s="16"/>
      <c r="P119" s="18">
        <f t="shared" si="1"/>
        <v>0</v>
      </c>
    </row>
    <row r="120" spans="2:16" x14ac:dyDescent="0.25">
      <c r="B120" s="12" t="s">
        <v>254</v>
      </c>
      <c r="C120" s="13" t="s">
        <v>255</v>
      </c>
      <c r="D120" s="14" t="s">
        <v>27</v>
      </c>
      <c r="E120" s="14" t="s">
        <v>16</v>
      </c>
      <c r="F120" s="15">
        <v>42493</v>
      </c>
      <c r="G120" s="16">
        <v>2.86</v>
      </c>
      <c r="H120" s="15"/>
      <c r="I120" s="16"/>
      <c r="J120" s="15"/>
      <c r="K120" s="16"/>
      <c r="L120" s="15"/>
      <c r="M120" s="16"/>
      <c r="N120" s="17"/>
      <c r="O120" s="16"/>
      <c r="P120" s="18">
        <f t="shared" si="1"/>
        <v>2.86</v>
      </c>
    </row>
    <row r="121" spans="2:16" x14ac:dyDescent="0.25">
      <c r="B121" s="12" t="s">
        <v>256</v>
      </c>
      <c r="C121" s="13" t="s">
        <v>257</v>
      </c>
      <c r="D121" s="14" t="s">
        <v>15</v>
      </c>
      <c r="E121" s="14" t="s">
        <v>16</v>
      </c>
      <c r="F121" s="15">
        <v>42485</v>
      </c>
      <c r="G121" s="16">
        <v>0.86</v>
      </c>
      <c r="H121" s="15">
        <v>42585</v>
      </c>
      <c r="I121" s="16">
        <v>0.52</v>
      </c>
      <c r="J121" s="15"/>
      <c r="K121" s="16"/>
      <c r="L121" s="15"/>
      <c r="M121" s="16"/>
      <c r="N121" s="17"/>
      <c r="O121" s="16"/>
      <c r="P121" s="18">
        <f t="shared" si="1"/>
        <v>1.38</v>
      </c>
    </row>
    <row r="122" spans="2:16" x14ac:dyDescent="0.25">
      <c r="B122" s="12" t="s">
        <v>258</v>
      </c>
      <c r="C122" s="13" t="s">
        <v>259</v>
      </c>
      <c r="D122" s="14" t="s">
        <v>15</v>
      </c>
      <c r="E122" s="14" t="s">
        <v>16</v>
      </c>
      <c r="F122" s="15">
        <v>42472</v>
      </c>
      <c r="G122" s="16">
        <v>1.47</v>
      </c>
      <c r="H122" s="15"/>
      <c r="I122" s="16"/>
      <c r="J122" s="15"/>
      <c r="K122" s="16"/>
      <c r="L122" s="15"/>
      <c r="M122" s="16"/>
      <c r="N122" s="17"/>
      <c r="O122" s="16"/>
      <c r="P122" s="18">
        <f t="shared" si="1"/>
        <v>1.47</v>
      </c>
    </row>
    <row r="123" spans="2:16" x14ac:dyDescent="0.25">
      <c r="B123" s="12" t="s">
        <v>260</v>
      </c>
      <c r="C123" s="13" t="s">
        <v>261</v>
      </c>
      <c r="D123" s="14" t="s">
        <v>15</v>
      </c>
      <c r="E123" s="14" t="s">
        <v>200</v>
      </c>
      <c r="F123" s="110" t="s">
        <v>677</v>
      </c>
      <c r="G123" s="111" t="s">
        <v>661</v>
      </c>
      <c r="H123" s="112"/>
      <c r="I123" s="113"/>
      <c r="J123" s="112"/>
      <c r="K123" s="113"/>
      <c r="L123" s="112"/>
      <c r="M123" s="113"/>
      <c r="N123" s="115"/>
      <c r="O123" s="113"/>
      <c r="P123" s="116"/>
    </row>
    <row r="124" spans="2:16" x14ac:dyDescent="0.25">
      <c r="B124" s="12" t="s">
        <v>264</v>
      </c>
      <c r="C124" s="13" t="s">
        <v>265</v>
      </c>
      <c r="D124" s="14" t="s">
        <v>15</v>
      </c>
      <c r="E124" s="14" t="s">
        <v>56</v>
      </c>
      <c r="F124" s="15">
        <v>42432</v>
      </c>
      <c r="G124" s="16">
        <v>0.21</v>
      </c>
      <c r="H124" s="15">
        <v>42509</v>
      </c>
      <c r="I124" s="16">
        <v>0.1</v>
      </c>
      <c r="J124" s="15">
        <v>42593</v>
      </c>
      <c r="K124" s="16">
        <v>0.1</v>
      </c>
      <c r="L124" s="15">
        <v>42663</v>
      </c>
      <c r="M124" s="16">
        <v>0.1</v>
      </c>
      <c r="N124" s="17"/>
      <c r="O124" s="16"/>
      <c r="P124" s="18">
        <f t="shared" si="1"/>
        <v>0.51</v>
      </c>
    </row>
    <row r="125" spans="2:16" x14ac:dyDescent="0.25">
      <c r="B125" s="12" t="s">
        <v>266</v>
      </c>
      <c r="C125" s="13" t="s">
        <v>267</v>
      </c>
      <c r="D125" s="14" t="s">
        <v>15</v>
      </c>
      <c r="E125" s="14" t="s">
        <v>16</v>
      </c>
      <c r="F125" s="15">
        <v>42381</v>
      </c>
      <c r="G125" s="16">
        <v>0.127</v>
      </c>
      <c r="H125" s="15">
        <v>42556</v>
      </c>
      <c r="I125" s="16">
        <v>0.154</v>
      </c>
      <c r="J125" s="15"/>
      <c r="K125" s="16"/>
      <c r="L125" s="15"/>
      <c r="M125" s="16"/>
      <c r="N125" s="17"/>
      <c r="O125" s="16"/>
      <c r="P125" s="18">
        <f t="shared" si="1"/>
        <v>0.28100000000000003</v>
      </c>
    </row>
    <row r="126" spans="2:16" x14ac:dyDescent="0.25">
      <c r="B126" s="12" t="s">
        <v>268</v>
      </c>
      <c r="C126" s="13" t="s">
        <v>269</v>
      </c>
      <c r="D126" s="14" t="s">
        <v>15</v>
      </c>
      <c r="E126" s="14" t="s">
        <v>77</v>
      </c>
      <c r="F126" s="15">
        <v>42404</v>
      </c>
      <c r="G126" s="16">
        <v>49.1</v>
      </c>
      <c r="H126" s="15">
        <v>42509</v>
      </c>
      <c r="I126" s="16">
        <v>23.5</v>
      </c>
      <c r="J126" s="15">
        <v>42600</v>
      </c>
      <c r="K126" s="16">
        <v>23.5</v>
      </c>
      <c r="L126" s="15">
        <v>42691</v>
      </c>
      <c r="M126" s="16">
        <v>54.1</v>
      </c>
      <c r="N126" s="17"/>
      <c r="O126" s="16"/>
      <c r="P126" s="18">
        <f t="shared" si="1"/>
        <v>150.19999999999999</v>
      </c>
    </row>
    <row r="127" spans="2:16" x14ac:dyDescent="0.25">
      <c r="B127" s="12" t="s">
        <v>270</v>
      </c>
      <c r="C127" s="13" t="s">
        <v>271</v>
      </c>
      <c r="D127" s="14" t="s">
        <v>15</v>
      </c>
      <c r="E127" s="14" t="s">
        <v>16</v>
      </c>
      <c r="F127" s="29">
        <v>42488</v>
      </c>
      <c r="G127" s="71">
        <v>0.29870000000000002</v>
      </c>
      <c r="H127" s="29">
        <v>42674</v>
      </c>
      <c r="I127" s="71">
        <v>0.1593</v>
      </c>
      <c r="J127" s="15"/>
      <c r="K127" s="16"/>
      <c r="L127" s="15"/>
      <c r="M127" s="104"/>
      <c r="N127" s="17"/>
      <c r="O127" s="16"/>
      <c r="P127" s="18">
        <f t="shared" si="1"/>
        <v>0.45800000000000002</v>
      </c>
    </row>
    <row r="128" spans="2:16" x14ac:dyDescent="0.25">
      <c r="B128" s="12" t="s">
        <v>678</v>
      </c>
      <c r="C128" s="13" t="s">
        <v>272</v>
      </c>
      <c r="D128" s="14" t="s">
        <v>15</v>
      </c>
      <c r="E128" s="14" t="s">
        <v>16</v>
      </c>
      <c r="F128" s="29">
        <v>42488</v>
      </c>
      <c r="G128" s="71">
        <v>0.29870000000000002</v>
      </c>
      <c r="H128" s="29">
        <v>42674</v>
      </c>
      <c r="I128" s="71">
        <v>0.1593</v>
      </c>
      <c r="J128" s="15"/>
      <c r="K128" s="16"/>
      <c r="L128" s="15"/>
      <c r="M128" s="104"/>
      <c r="N128" s="17"/>
      <c r="O128" s="16"/>
      <c r="P128" s="18">
        <f t="shared" si="1"/>
        <v>0.45800000000000002</v>
      </c>
    </row>
    <row r="129" spans="1:17" x14ac:dyDescent="0.25">
      <c r="B129" s="12" t="s">
        <v>273</v>
      </c>
      <c r="C129" s="13" t="s">
        <v>274</v>
      </c>
      <c r="D129" s="14" t="s">
        <v>15</v>
      </c>
      <c r="E129" s="14" t="s">
        <v>16</v>
      </c>
      <c r="F129" s="15">
        <v>42487</v>
      </c>
      <c r="G129" s="16">
        <v>0.41</v>
      </c>
      <c r="H129" s="15">
        <v>42587</v>
      </c>
      <c r="I129" s="16">
        <v>0.24</v>
      </c>
      <c r="J129" s="15"/>
      <c r="K129" s="16"/>
      <c r="L129" s="15"/>
      <c r="M129" s="104"/>
      <c r="N129" s="17"/>
      <c r="O129" s="16"/>
      <c r="P129" s="18">
        <f t="shared" si="1"/>
        <v>0.64999999999999991</v>
      </c>
    </row>
    <row r="130" spans="1:17" x14ac:dyDescent="0.25">
      <c r="B130" s="12" t="s">
        <v>276</v>
      </c>
      <c r="C130" s="13" t="s">
        <v>277</v>
      </c>
      <c r="D130" s="14" t="s">
        <v>15</v>
      </c>
      <c r="E130" s="14" t="s">
        <v>16</v>
      </c>
      <c r="F130" s="15">
        <v>42513</v>
      </c>
      <c r="G130" s="16">
        <v>0.14000000000000001</v>
      </c>
      <c r="H130" s="15"/>
      <c r="I130" s="16"/>
      <c r="J130" s="15"/>
      <c r="K130" s="16"/>
      <c r="L130" s="15"/>
      <c r="M130" s="104"/>
      <c r="N130" s="17"/>
      <c r="O130" s="16"/>
      <c r="P130" s="18">
        <f t="shared" si="1"/>
        <v>0.14000000000000001</v>
      </c>
    </row>
    <row r="131" spans="1:17" x14ac:dyDescent="0.25">
      <c r="B131" s="12" t="s">
        <v>284</v>
      </c>
      <c r="C131" s="13" t="s">
        <v>285</v>
      </c>
      <c r="D131" s="14" t="s">
        <v>15</v>
      </c>
      <c r="E131" s="14" t="s">
        <v>21</v>
      </c>
      <c r="F131" s="15">
        <v>42475</v>
      </c>
      <c r="G131" s="16">
        <v>1.1000000000000001</v>
      </c>
      <c r="H131" s="15"/>
      <c r="I131" s="16"/>
      <c r="J131" s="15"/>
      <c r="K131" s="16"/>
      <c r="L131" s="15"/>
      <c r="M131" s="104"/>
      <c r="N131" s="17"/>
      <c r="O131" s="16"/>
      <c r="P131" s="18">
        <f t="shared" si="1"/>
        <v>1.1000000000000001</v>
      </c>
    </row>
    <row r="132" spans="1:17" x14ac:dyDescent="0.25">
      <c r="B132" s="12" t="s">
        <v>286</v>
      </c>
      <c r="C132" s="13" t="s">
        <v>287</v>
      </c>
      <c r="D132" s="14" t="s">
        <v>15</v>
      </c>
      <c r="E132" s="14" t="s">
        <v>16</v>
      </c>
      <c r="F132" s="15">
        <v>42502</v>
      </c>
      <c r="G132" s="16">
        <v>1.1499999999999999</v>
      </c>
      <c r="H132" s="15"/>
      <c r="I132" s="16"/>
      <c r="J132" s="15"/>
      <c r="K132" s="16"/>
      <c r="L132" s="15"/>
      <c r="M132" s="104"/>
      <c r="N132" s="17"/>
      <c r="O132" s="16"/>
      <c r="P132" s="18">
        <f t="shared" si="1"/>
        <v>1.1499999999999999</v>
      </c>
    </row>
    <row r="133" spans="1:17" x14ac:dyDescent="0.25">
      <c r="A133" s="33"/>
      <c r="B133" s="37" t="s">
        <v>288</v>
      </c>
      <c r="C133" s="13" t="s">
        <v>289</v>
      </c>
      <c r="D133" s="14" t="s">
        <v>27</v>
      </c>
      <c r="E133" s="14" t="s">
        <v>16</v>
      </c>
      <c r="F133" s="15">
        <v>42690</v>
      </c>
      <c r="G133" s="16">
        <v>1</v>
      </c>
      <c r="H133" s="15"/>
      <c r="I133" s="16"/>
      <c r="J133" s="15"/>
      <c r="K133" s="16"/>
      <c r="L133" s="15"/>
      <c r="M133" s="104"/>
      <c r="N133" s="17"/>
      <c r="O133" s="16"/>
      <c r="P133" s="18">
        <f t="shared" si="1"/>
        <v>1</v>
      </c>
      <c r="Q133" s="36"/>
    </row>
    <row r="134" spans="1:17" x14ac:dyDescent="0.25">
      <c r="A134" s="33"/>
      <c r="B134" s="37" t="s">
        <v>290</v>
      </c>
      <c r="C134" s="13" t="s">
        <v>291</v>
      </c>
      <c r="D134" s="14" t="s">
        <v>24</v>
      </c>
      <c r="E134" s="14" t="s">
        <v>16</v>
      </c>
      <c r="F134" s="15">
        <v>42390</v>
      </c>
      <c r="G134" s="16">
        <v>1.5</v>
      </c>
      <c r="H134" s="15">
        <v>42494</v>
      </c>
      <c r="I134" s="16">
        <v>2.5</v>
      </c>
      <c r="J134" s="15"/>
      <c r="K134" s="16"/>
      <c r="L134" s="15"/>
      <c r="M134" s="104"/>
      <c r="N134" s="17"/>
      <c r="O134" s="16"/>
      <c r="P134" s="18">
        <f>G134+I134+K134+O134+M134</f>
        <v>4</v>
      </c>
      <c r="Q134" s="36"/>
    </row>
    <row r="135" spans="1:17" x14ac:dyDescent="0.25">
      <c r="A135" s="33"/>
      <c r="B135" s="37" t="s">
        <v>294</v>
      </c>
      <c r="C135" s="13" t="s">
        <v>295</v>
      </c>
      <c r="D135" s="14" t="s">
        <v>15</v>
      </c>
      <c r="E135" s="14" t="s">
        <v>200</v>
      </c>
      <c r="F135" s="110" t="s">
        <v>677</v>
      </c>
      <c r="G135" s="111" t="s">
        <v>661</v>
      </c>
      <c r="H135" s="112"/>
      <c r="I135" s="113"/>
      <c r="J135" s="112"/>
      <c r="K135" s="113"/>
      <c r="L135" s="112"/>
      <c r="M135" s="114"/>
      <c r="N135" s="115"/>
      <c r="O135" s="113"/>
      <c r="P135" s="116"/>
      <c r="Q135" s="36"/>
    </row>
    <row r="136" spans="1:17" x14ac:dyDescent="0.25">
      <c r="A136" s="33"/>
      <c r="B136" s="37" t="s">
        <v>292</v>
      </c>
      <c r="C136" s="13" t="s">
        <v>293</v>
      </c>
      <c r="D136" s="14" t="s">
        <v>15</v>
      </c>
      <c r="E136" s="14" t="s">
        <v>16</v>
      </c>
      <c r="F136" s="110" t="s">
        <v>677</v>
      </c>
      <c r="G136" s="111" t="s">
        <v>661</v>
      </c>
      <c r="H136" s="112"/>
      <c r="I136" s="113"/>
      <c r="J136" s="112"/>
      <c r="K136" s="113"/>
      <c r="L136" s="112"/>
      <c r="M136" s="114"/>
      <c r="N136" s="115"/>
      <c r="O136" s="113"/>
      <c r="P136" s="116"/>
      <c r="Q136" s="36"/>
    </row>
    <row r="137" spans="1:17" x14ac:dyDescent="0.25">
      <c r="A137" s="33"/>
      <c r="B137" s="37" t="s">
        <v>296</v>
      </c>
      <c r="C137" s="13" t="s">
        <v>297</v>
      </c>
      <c r="D137" s="14" t="s">
        <v>15</v>
      </c>
      <c r="E137" s="14" t="s">
        <v>16</v>
      </c>
      <c r="F137" s="29">
        <v>42475</v>
      </c>
      <c r="G137" s="71">
        <v>4.5499999999999999E-2</v>
      </c>
      <c r="H137" s="15">
        <v>42580</v>
      </c>
      <c r="I137" s="28">
        <v>3.3000000000000002E-2</v>
      </c>
      <c r="J137" s="15"/>
      <c r="K137" s="16"/>
      <c r="L137" s="15"/>
      <c r="M137" s="104"/>
      <c r="N137" s="17"/>
      <c r="O137" s="16"/>
      <c r="P137" s="18">
        <f t="shared" ref="P137:P196" si="2">G137+I137+K137+O137+M137</f>
        <v>7.85E-2</v>
      </c>
      <c r="Q137" s="36"/>
    </row>
    <row r="138" spans="1:17" x14ac:dyDescent="0.25">
      <c r="B138" s="12" t="s">
        <v>298</v>
      </c>
      <c r="C138" s="13" t="s">
        <v>299</v>
      </c>
      <c r="D138" s="14" t="s">
        <v>15</v>
      </c>
      <c r="E138" s="14" t="s">
        <v>21</v>
      </c>
      <c r="F138" s="15">
        <v>42507</v>
      </c>
      <c r="G138" s="16">
        <v>1.5</v>
      </c>
      <c r="H138" s="15"/>
      <c r="I138" s="16"/>
      <c r="J138" s="15"/>
      <c r="K138" s="16"/>
      <c r="L138" s="15"/>
      <c r="M138" s="104"/>
      <c r="N138" s="17"/>
      <c r="O138" s="16"/>
      <c r="P138" s="18">
        <f t="shared" si="2"/>
        <v>1.5</v>
      </c>
    </row>
    <row r="139" spans="1:17" x14ac:dyDescent="0.25">
      <c r="A139" s="33"/>
      <c r="B139" s="37" t="s">
        <v>300</v>
      </c>
      <c r="C139" s="13" t="s">
        <v>301</v>
      </c>
      <c r="D139" s="14" t="s">
        <v>24</v>
      </c>
      <c r="E139" s="14" t="s">
        <v>16</v>
      </c>
      <c r="F139" s="15">
        <v>42496</v>
      </c>
      <c r="G139" s="16">
        <v>1.3</v>
      </c>
      <c r="H139" s="15"/>
      <c r="I139" s="16"/>
      <c r="J139" s="15"/>
      <c r="K139" s="16"/>
      <c r="L139" s="15"/>
      <c r="M139" s="104"/>
      <c r="N139" s="17"/>
      <c r="O139" s="16"/>
      <c r="P139" s="18">
        <f t="shared" si="2"/>
        <v>1.3</v>
      </c>
      <c r="Q139" s="36"/>
    </row>
    <row r="140" spans="1:17" x14ac:dyDescent="0.25">
      <c r="B140" s="12" t="s">
        <v>302</v>
      </c>
      <c r="C140" s="13" t="s">
        <v>303</v>
      </c>
      <c r="D140" s="14" t="s">
        <v>15</v>
      </c>
      <c r="E140" s="14" t="s">
        <v>77</v>
      </c>
      <c r="F140" s="15">
        <v>42488</v>
      </c>
      <c r="G140" s="16">
        <v>9.9499999999999993</v>
      </c>
      <c r="H140" s="15">
        <v>42600</v>
      </c>
      <c r="I140" s="16">
        <v>4</v>
      </c>
      <c r="J140" s="15"/>
      <c r="K140" s="16"/>
      <c r="L140" s="15"/>
      <c r="M140" s="104"/>
      <c r="N140" s="17"/>
      <c r="O140" s="16"/>
      <c r="P140" s="18">
        <f>G140+I140+K140+O140+M140</f>
        <v>13.95</v>
      </c>
    </row>
    <row r="141" spans="1:17" x14ac:dyDescent="0.25">
      <c r="B141" s="12" t="s">
        <v>304</v>
      </c>
      <c r="C141" s="13" t="s">
        <v>305</v>
      </c>
      <c r="D141" s="14" t="s">
        <v>24</v>
      </c>
      <c r="E141" s="14" t="s">
        <v>16</v>
      </c>
      <c r="F141" s="15">
        <v>42521</v>
      </c>
      <c r="G141" s="16">
        <v>1.1499999999999999</v>
      </c>
      <c r="H141" s="15"/>
      <c r="I141" s="16"/>
      <c r="J141" s="15"/>
      <c r="K141" s="16"/>
      <c r="L141" s="15"/>
      <c r="M141" s="104"/>
      <c r="N141" s="17"/>
      <c r="O141" s="16"/>
      <c r="P141" s="18">
        <f t="shared" si="2"/>
        <v>1.1499999999999999</v>
      </c>
    </row>
    <row r="142" spans="1:17" x14ac:dyDescent="0.25">
      <c r="B142" s="12" t="s">
        <v>306</v>
      </c>
      <c r="C142" s="13" t="s">
        <v>307</v>
      </c>
      <c r="D142" s="14" t="s">
        <v>15</v>
      </c>
      <c r="E142" s="14" t="s">
        <v>16</v>
      </c>
      <c r="F142" s="15">
        <v>42494</v>
      </c>
      <c r="G142" s="16">
        <v>3.45</v>
      </c>
      <c r="H142" s="15"/>
      <c r="I142" s="16"/>
      <c r="J142" s="15"/>
      <c r="K142" s="16"/>
      <c r="L142" s="15"/>
      <c r="M142" s="104"/>
      <c r="N142" s="17"/>
      <c r="O142" s="16"/>
      <c r="P142" s="18">
        <f t="shared" si="2"/>
        <v>3.45</v>
      </c>
    </row>
    <row r="143" spans="1:17" x14ac:dyDescent="0.25">
      <c r="B143" s="12" t="s">
        <v>308</v>
      </c>
      <c r="C143" s="13" t="s">
        <v>309</v>
      </c>
      <c r="D143" s="14" t="s">
        <v>15</v>
      </c>
      <c r="E143" s="14" t="s">
        <v>77</v>
      </c>
      <c r="F143" s="15">
        <v>42467</v>
      </c>
      <c r="G143" s="16">
        <v>1.4886999999999999</v>
      </c>
      <c r="H143" s="15">
        <v>42593</v>
      </c>
      <c r="I143" s="16">
        <v>0.85</v>
      </c>
      <c r="J143" s="15"/>
      <c r="K143" s="16"/>
      <c r="L143" s="15"/>
      <c r="M143" s="104"/>
      <c r="N143" s="17"/>
      <c r="O143" s="16"/>
      <c r="P143" s="18">
        <f t="shared" si="2"/>
        <v>2.3386999999999998</v>
      </c>
    </row>
    <row r="144" spans="1:17" x14ac:dyDescent="0.25">
      <c r="B144" s="12" t="s">
        <v>310</v>
      </c>
      <c r="C144" s="13" t="s">
        <v>311</v>
      </c>
      <c r="D144" s="14" t="s">
        <v>24</v>
      </c>
      <c r="E144" s="14" t="s">
        <v>16</v>
      </c>
      <c r="F144" s="15">
        <v>42489</v>
      </c>
      <c r="G144" s="16">
        <v>3.1</v>
      </c>
      <c r="H144" s="15"/>
      <c r="I144" s="16"/>
      <c r="J144" s="15"/>
      <c r="K144" s="16"/>
      <c r="L144" s="15"/>
      <c r="M144" s="104"/>
      <c r="N144" s="17"/>
      <c r="O144" s="16"/>
      <c r="P144" s="18">
        <f t="shared" si="2"/>
        <v>3.1</v>
      </c>
    </row>
    <row r="145" spans="2:16" x14ac:dyDescent="0.25">
      <c r="B145" s="12" t="s">
        <v>312</v>
      </c>
      <c r="C145" s="13" t="s">
        <v>313</v>
      </c>
      <c r="D145" s="14" t="s">
        <v>24</v>
      </c>
      <c r="E145" s="14" t="s">
        <v>16</v>
      </c>
      <c r="F145" s="15">
        <v>42479</v>
      </c>
      <c r="G145" s="16">
        <v>2.2000000000000002</v>
      </c>
      <c r="H145" s="15">
        <v>42703</v>
      </c>
      <c r="I145" s="16">
        <v>1.4</v>
      </c>
      <c r="J145" s="15"/>
      <c r="K145" s="16"/>
      <c r="L145" s="15"/>
      <c r="M145" s="104"/>
      <c r="N145" s="17"/>
      <c r="O145" s="16"/>
      <c r="P145" s="18">
        <f t="shared" si="2"/>
        <v>3.6</v>
      </c>
    </row>
    <row r="146" spans="2:16" x14ac:dyDescent="0.25">
      <c r="B146" s="12" t="s">
        <v>314</v>
      </c>
      <c r="C146" s="13" t="s">
        <v>315</v>
      </c>
      <c r="D146" s="14" t="s">
        <v>15</v>
      </c>
      <c r="E146" s="14" t="s">
        <v>16</v>
      </c>
      <c r="F146" s="15">
        <v>42542</v>
      </c>
      <c r="G146" s="16">
        <v>7.0000000000000007E-2</v>
      </c>
      <c r="H146" s="15"/>
      <c r="I146" s="16"/>
      <c r="J146" s="15"/>
      <c r="K146" s="16"/>
      <c r="L146" s="15"/>
      <c r="M146" s="104"/>
      <c r="N146" s="17"/>
      <c r="O146" s="16"/>
      <c r="P146" s="18">
        <f t="shared" si="2"/>
        <v>7.0000000000000007E-2</v>
      </c>
    </row>
    <row r="147" spans="2:16" x14ac:dyDescent="0.25">
      <c r="B147" s="12" t="s">
        <v>316</v>
      </c>
      <c r="C147" s="13" t="s">
        <v>317</v>
      </c>
      <c r="D147" s="14" t="s">
        <v>15</v>
      </c>
      <c r="E147" s="14" t="s">
        <v>16</v>
      </c>
      <c r="F147" s="15">
        <v>42513</v>
      </c>
      <c r="G147" s="16">
        <v>0.02</v>
      </c>
      <c r="H147" s="15"/>
      <c r="I147" s="16"/>
      <c r="J147" s="15"/>
      <c r="K147" s="16"/>
      <c r="L147" s="15"/>
      <c r="M147" s="104"/>
      <c r="N147" s="17"/>
      <c r="O147" s="16"/>
      <c r="P147" s="18">
        <f t="shared" si="2"/>
        <v>0.02</v>
      </c>
    </row>
    <row r="148" spans="2:16" x14ac:dyDescent="0.25">
      <c r="B148" s="12" t="s">
        <v>318</v>
      </c>
      <c r="C148" s="13" t="s">
        <v>319</v>
      </c>
      <c r="D148" s="14" t="s">
        <v>15</v>
      </c>
      <c r="E148" s="14" t="s">
        <v>16</v>
      </c>
      <c r="F148" s="15">
        <v>42479</v>
      </c>
      <c r="G148" s="16">
        <v>0.49391499999999999</v>
      </c>
      <c r="H148" s="15"/>
      <c r="I148" s="16"/>
      <c r="J148" s="15"/>
      <c r="K148" s="16"/>
      <c r="L148" s="15"/>
      <c r="M148" s="104"/>
      <c r="N148" s="17"/>
      <c r="O148" s="16"/>
      <c r="P148" s="18">
        <f t="shared" si="2"/>
        <v>0.49391499999999999</v>
      </c>
    </row>
    <row r="149" spans="2:16" x14ac:dyDescent="0.25">
      <c r="B149" s="12" t="s">
        <v>320</v>
      </c>
      <c r="C149" s="13" t="s">
        <v>321</v>
      </c>
      <c r="D149" s="14" t="s">
        <v>15</v>
      </c>
      <c r="E149" s="14" t="s">
        <v>16</v>
      </c>
      <c r="F149" s="15">
        <v>42695</v>
      </c>
      <c r="G149" s="16">
        <v>0.27</v>
      </c>
      <c r="H149" s="15"/>
      <c r="I149" s="16"/>
      <c r="J149" s="15"/>
      <c r="K149" s="16"/>
      <c r="L149" s="15"/>
      <c r="M149" s="104"/>
      <c r="N149" s="17"/>
      <c r="O149" s="16"/>
      <c r="P149" s="18">
        <f t="shared" si="2"/>
        <v>0.27</v>
      </c>
    </row>
    <row r="150" spans="2:16" x14ac:dyDescent="0.25">
      <c r="B150" s="12" t="s">
        <v>679</v>
      </c>
      <c r="C150" s="13" t="s">
        <v>326</v>
      </c>
      <c r="D150" s="14" t="s">
        <v>15</v>
      </c>
      <c r="E150" s="14" t="s">
        <v>16</v>
      </c>
      <c r="F150" s="15">
        <v>42422</v>
      </c>
      <c r="G150" s="16">
        <v>1</v>
      </c>
      <c r="H150" s="15"/>
      <c r="I150" s="16"/>
      <c r="J150" s="15"/>
      <c r="K150" s="16"/>
      <c r="L150" s="15"/>
      <c r="M150" s="104"/>
      <c r="N150" s="17"/>
      <c r="O150" s="16"/>
      <c r="P150" s="18">
        <f t="shared" si="2"/>
        <v>1</v>
      </c>
    </row>
    <row r="151" spans="2:16" x14ac:dyDescent="0.25">
      <c r="B151" s="12" t="s">
        <v>327</v>
      </c>
      <c r="C151" s="13" t="s">
        <v>328</v>
      </c>
      <c r="D151" s="14" t="s">
        <v>15</v>
      </c>
      <c r="E151" s="14" t="s">
        <v>16</v>
      </c>
      <c r="F151" s="110" t="s">
        <v>677</v>
      </c>
      <c r="G151" s="111" t="s">
        <v>661</v>
      </c>
      <c r="H151" s="112"/>
      <c r="I151" s="113"/>
      <c r="J151" s="112"/>
      <c r="K151" s="113"/>
      <c r="L151" s="112"/>
      <c r="M151" s="114"/>
      <c r="N151" s="115"/>
      <c r="O151" s="113"/>
      <c r="P151" s="116"/>
    </row>
    <row r="152" spans="2:16" x14ac:dyDescent="0.25">
      <c r="B152" s="12" t="s">
        <v>322</v>
      </c>
      <c r="C152" s="13" t="s">
        <v>323</v>
      </c>
      <c r="D152" s="14" t="s">
        <v>15</v>
      </c>
      <c r="E152" s="14" t="s">
        <v>16</v>
      </c>
      <c r="F152" s="15">
        <v>42492</v>
      </c>
      <c r="G152" s="16">
        <v>1.05</v>
      </c>
      <c r="H152" s="15"/>
      <c r="I152" s="16"/>
      <c r="J152" s="15"/>
      <c r="K152" s="16"/>
      <c r="L152" s="15"/>
      <c r="M152" s="104"/>
      <c r="N152" s="17"/>
      <c r="O152" s="16"/>
      <c r="P152" s="18">
        <f t="shared" si="2"/>
        <v>1.05</v>
      </c>
    </row>
    <row r="153" spans="2:16" x14ac:dyDescent="0.25">
      <c r="B153" s="12" t="s">
        <v>329</v>
      </c>
      <c r="C153" s="13" t="s">
        <v>330</v>
      </c>
      <c r="D153" s="14" t="s">
        <v>24</v>
      </c>
      <c r="E153" s="14" t="s">
        <v>16</v>
      </c>
      <c r="F153" s="15">
        <v>42507</v>
      </c>
      <c r="G153" s="16">
        <v>2.85</v>
      </c>
      <c r="H153" s="15"/>
      <c r="I153" s="16"/>
      <c r="J153" s="15"/>
      <c r="K153" s="16"/>
      <c r="L153" s="15"/>
      <c r="M153" s="104"/>
      <c r="N153" s="17"/>
      <c r="O153" s="16"/>
      <c r="P153" s="18">
        <f t="shared" si="2"/>
        <v>2.85</v>
      </c>
    </row>
    <row r="154" spans="2:16" x14ac:dyDescent="0.25">
      <c r="B154" s="12" t="s">
        <v>347</v>
      </c>
      <c r="C154" s="13" t="s">
        <v>348</v>
      </c>
      <c r="D154" s="14" t="s">
        <v>15</v>
      </c>
      <c r="E154" s="14" t="s">
        <v>16</v>
      </c>
      <c r="F154" s="15">
        <v>42447</v>
      </c>
      <c r="G154" s="16">
        <v>0.64</v>
      </c>
      <c r="H154" s="15"/>
      <c r="I154" s="16"/>
      <c r="J154" s="15"/>
      <c r="K154" s="16"/>
      <c r="L154" s="15"/>
      <c r="M154" s="104"/>
      <c r="N154" s="17"/>
      <c r="O154" s="16"/>
      <c r="P154" s="18">
        <f>G154+I154+K154+O154+M154</f>
        <v>0.64</v>
      </c>
    </row>
    <row r="155" spans="2:16" x14ac:dyDescent="0.25">
      <c r="B155" s="12" t="s">
        <v>333</v>
      </c>
      <c r="C155" s="13" t="s">
        <v>334</v>
      </c>
      <c r="D155" s="14" t="s">
        <v>15</v>
      </c>
      <c r="E155" s="14" t="s">
        <v>16</v>
      </c>
      <c r="F155" s="15">
        <v>42488</v>
      </c>
      <c r="G155" s="16">
        <v>8.25</v>
      </c>
      <c r="H155" s="15"/>
      <c r="I155" s="16"/>
      <c r="J155" s="15"/>
      <c r="K155" s="16"/>
      <c r="L155" s="15"/>
      <c r="M155" s="104"/>
      <c r="N155" s="17"/>
      <c r="O155" s="16"/>
      <c r="P155" s="18">
        <f t="shared" si="2"/>
        <v>8.25</v>
      </c>
    </row>
    <row r="156" spans="2:16" x14ac:dyDescent="0.25">
      <c r="B156" s="12" t="s">
        <v>335</v>
      </c>
      <c r="C156" s="13" t="s">
        <v>336</v>
      </c>
      <c r="D156" s="14" t="s">
        <v>15</v>
      </c>
      <c r="E156" s="14" t="s">
        <v>77</v>
      </c>
      <c r="F156" s="15">
        <v>42523</v>
      </c>
      <c r="G156" s="16">
        <v>28.34</v>
      </c>
      <c r="H156" s="15">
        <v>42698</v>
      </c>
      <c r="I156" s="16">
        <v>15.17</v>
      </c>
      <c r="J156" s="15"/>
      <c r="K156" s="16"/>
      <c r="L156" s="15"/>
      <c r="M156" s="104"/>
      <c r="N156" s="17"/>
      <c r="O156" s="16"/>
      <c r="P156" s="18">
        <f t="shared" si="2"/>
        <v>43.51</v>
      </c>
    </row>
    <row r="157" spans="2:16" x14ac:dyDescent="0.25">
      <c r="B157" s="12" t="s">
        <v>337</v>
      </c>
      <c r="C157" s="13" t="s">
        <v>338</v>
      </c>
      <c r="D157" s="14" t="s">
        <v>24</v>
      </c>
      <c r="E157" s="14" t="s">
        <v>16</v>
      </c>
      <c r="F157" s="29">
        <v>42517</v>
      </c>
      <c r="G157" s="71">
        <v>0.24443999999999999</v>
      </c>
      <c r="H157" s="15"/>
      <c r="I157" s="16"/>
      <c r="J157" s="15"/>
      <c r="K157" s="16"/>
      <c r="L157" s="15"/>
      <c r="M157" s="104"/>
      <c r="N157" s="17"/>
      <c r="O157" s="16"/>
      <c r="P157" s="18">
        <f t="shared" si="2"/>
        <v>0.24443999999999999</v>
      </c>
    </row>
    <row r="158" spans="2:16" x14ac:dyDescent="0.25">
      <c r="B158" s="12" t="s">
        <v>339</v>
      </c>
      <c r="C158" s="13" t="s">
        <v>340</v>
      </c>
      <c r="D158" s="14" t="s">
        <v>15</v>
      </c>
      <c r="E158" s="14" t="s">
        <v>16</v>
      </c>
      <c r="F158" s="110" t="s">
        <v>677</v>
      </c>
      <c r="G158" s="111" t="s">
        <v>661</v>
      </c>
      <c r="H158" s="112"/>
      <c r="I158" s="113"/>
      <c r="J158" s="112"/>
      <c r="K158" s="113"/>
      <c r="L158" s="112"/>
      <c r="M158" s="114"/>
      <c r="N158" s="115"/>
      <c r="O158" s="113"/>
      <c r="P158" s="116"/>
    </row>
    <row r="159" spans="2:16" x14ac:dyDescent="0.25">
      <c r="B159" s="12" t="s">
        <v>341</v>
      </c>
      <c r="C159" s="13" t="s">
        <v>342</v>
      </c>
      <c r="D159" s="14" t="s">
        <v>15</v>
      </c>
      <c r="E159" s="14" t="s">
        <v>21</v>
      </c>
      <c r="F159" s="15">
        <v>42471</v>
      </c>
      <c r="G159" s="16">
        <v>2.25</v>
      </c>
      <c r="H159" s="15"/>
      <c r="I159" s="16"/>
      <c r="J159" s="15"/>
      <c r="K159" s="16"/>
      <c r="L159" s="15"/>
      <c r="M159" s="104"/>
      <c r="N159" s="17"/>
      <c r="O159" s="16"/>
      <c r="P159" s="18">
        <f t="shared" si="2"/>
        <v>2.25</v>
      </c>
    </row>
    <row r="160" spans="2:16" x14ac:dyDescent="0.25">
      <c r="B160" s="12" t="s">
        <v>343</v>
      </c>
      <c r="C160" s="13" t="s">
        <v>344</v>
      </c>
      <c r="D160" s="14" t="s">
        <v>15</v>
      </c>
      <c r="E160" s="14" t="s">
        <v>16</v>
      </c>
      <c r="F160" s="15">
        <v>42528</v>
      </c>
      <c r="G160" s="16">
        <v>1.05</v>
      </c>
      <c r="H160" s="15">
        <v>42604</v>
      </c>
      <c r="I160" s="16">
        <v>0.6</v>
      </c>
      <c r="J160" s="15"/>
      <c r="K160" s="16"/>
      <c r="L160" s="15"/>
      <c r="M160" s="104"/>
      <c r="N160" s="17"/>
      <c r="O160" s="16"/>
      <c r="P160" s="18">
        <f>G160+I160+K160+O160+M160</f>
        <v>1.65</v>
      </c>
    </row>
    <row r="161" spans="1:17" x14ac:dyDescent="0.25">
      <c r="B161" s="12" t="s">
        <v>345</v>
      </c>
      <c r="C161" s="13" t="s">
        <v>346</v>
      </c>
      <c r="D161" s="14" t="s">
        <v>15</v>
      </c>
      <c r="E161" s="14" t="s">
        <v>16</v>
      </c>
      <c r="F161" s="110" t="s">
        <v>677</v>
      </c>
      <c r="G161" s="111" t="s">
        <v>661</v>
      </c>
      <c r="H161" s="112"/>
      <c r="I161" s="113"/>
      <c r="J161" s="112"/>
      <c r="K161" s="113"/>
      <c r="L161" s="112"/>
      <c r="M161" s="114"/>
      <c r="N161" s="115"/>
      <c r="O161" s="113"/>
      <c r="P161" s="116"/>
    </row>
    <row r="162" spans="1:17" x14ac:dyDescent="0.25">
      <c r="B162" s="12" t="s">
        <v>349</v>
      </c>
      <c r="C162" s="13" t="s">
        <v>350</v>
      </c>
      <c r="D162" s="14" t="s">
        <v>15</v>
      </c>
      <c r="E162" s="14" t="s">
        <v>21</v>
      </c>
      <c r="F162" s="15">
        <v>42425</v>
      </c>
      <c r="G162" s="16">
        <v>2.7</v>
      </c>
      <c r="H162" s="15"/>
      <c r="I162" s="16"/>
      <c r="J162" s="15"/>
      <c r="K162" s="16"/>
      <c r="L162" s="15"/>
      <c r="M162" s="104"/>
      <c r="N162" s="17"/>
      <c r="O162" s="16"/>
      <c r="P162" s="18">
        <f t="shared" si="2"/>
        <v>2.7</v>
      </c>
    </row>
    <row r="163" spans="1:17" x14ac:dyDescent="0.25">
      <c r="B163" s="12" t="s">
        <v>351</v>
      </c>
      <c r="C163" s="13" t="s">
        <v>352</v>
      </c>
      <c r="D163" s="14" t="s">
        <v>15</v>
      </c>
      <c r="E163" s="14" t="s">
        <v>77</v>
      </c>
      <c r="F163" s="15">
        <v>42460</v>
      </c>
      <c r="G163" s="16">
        <v>6.25</v>
      </c>
      <c r="H163" s="15">
        <v>42635</v>
      </c>
      <c r="I163" s="16">
        <v>2.67</v>
      </c>
      <c r="J163" s="15"/>
      <c r="K163" s="16"/>
      <c r="L163" s="15"/>
      <c r="M163" s="104"/>
      <c r="N163" s="17"/>
      <c r="O163" s="16"/>
      <c r="P163" s="18">
        <f t="shared" si="2"/>
        <v>8.92</v>
      </c>
    </row>
    <row r="164" spans="1:17" x14ac:dyDescent="0.25">
      <c r="B164" s="12" t="s">
        <v>353</v>
      </c>
      <c r="C164" s="13" t="s">
        <v>354</v>
      </c>
      <c r="D164" s="14" t="s">
        <v>24</v>
      </c>
      <c r="E164" s="14" t="s">
        <v>16</v>
      </c>
      <c r="F164" s="15">
        <v>42542</v>
      </c>
      <c r="G164" s="16">
        <v>0.4</v>
      </c>
      <c r="H164" s="15">
        <v>42709</v>
      </c>
      <c r="I164" s="16">
        <v>0.2</v>
      </c>
      <c r="J164" s="15"/>
      <c r="K164" s="16"/>
      <c r="L164" s="15"/>
      <c r="M164" s="104"/>
      <c r="N164" s="17"/>
      <c r="O164" s="16"/>
      <c r="P164" s="18">
        <f t="shared" si="2"/>
        <v>0.60000000000000009</v>
      </c>
    </row>
    <row r="165" spans="1:17" x14ac:dyDescent="0.25">
      <c r="B165" s="12" t="s">
        <v>357</v>
      </c>
      <c r="C165" s="13" t="s">
        <v>358</v>
      </c>
      <c r="D165" s="14" t="s">
        <v>15</v>
      </c>
      <c r="E165" s="14" t="s">
        <v>77</v>
      </c>
      <c r="F165" s="15">
        <v>42467</v>
      </c>
      <c r="G165" s="16">
        <v>34</v>
      </c>
      <c r="H165" s="15">
        <v>42600</v>
      </c>
      <c r="I165" s="16">
        <v>18</v>
      </c>
      <c r="J165" s="15"/>
      <c r="K165" s="16"/>
      <c r="L165" s="15"/>
      <c r="M165" s="104"/>
      <c r="N165" s="17"/>
      <c r="O165" s="16"/>
      <c r="P165" s="18">
        <f>G165+I165+K165+O165+M165</f>
        <v>52</v>
      </c>
    </row>
    <row r="166" spans="1:17" x14ac:dyDescent="0.25">
      <c r="B166" s="12" t="s">
        <v>359</v>
      </c>
      <c r="C166" s="13" t="s">
        <v>360</v>
      </c>
      <c r="D166" s="14" t="s">
        <v>24</v>
      </c>
      <c r="E166" s="14" t="s">
        <v>16</v>
      </c>
      <c r="F166" s="15">
        <v>42557</v>
      </c>
      <c r="G166" s="16">
        <v>0.9</v>
      </c>
      <c r="H166" s="15">
        <v>42702</v>
      </c>
      <c r="I166" s="16">
        <v>0.98</v>
      </c>
      <c r="J166" s="15"/>
      <c r="K166" s="16"/>
      <c r="L166" s="15"/>
      <c r="M166" s="104"/>
      <c r="N166" s="17"/>
      <c r="O166" s="16"/>
      <c r="P166" s="18">
        <f t="shared" si="2"/>
        <v>1.88</v>
      </c>
    </row>
    <row r="167" spans="1:17" x14ac:dyDescent="0.25">
      <c r="B167" s="12" t="s">
        <v>361</v>
      </c>
      <c r="C167" s="13" t="s">
        <v>362</v>
      </c>
      <c r="D167" s="14" t="s">
        <v>24</v>
      </c>
      <c r="E167" s="14" t="s">
        <v>16</v>
      </c>
      <c r="F167" s="15"/>
      <c r="G167" s="16"/>
      <c r="H167" s="15"/>
      <c r="I167" s="16"/>
      <c r="J167" s="15"/>
      <c r="K167" s="16"/>
      <c r="L167" s="15"/>
      <c r="M167" s="104"/>
      <c r="N167" s="17"/>
      <c r="O167" s="16"/>
      <c r="P167" s="18">
        <f t="shared" si="2"/>
        <v>0</v>
      </c>
    </row>
    <row r="168" spans="1:17" x14ac:dyDescent="0.25">
      <c r="B168" s="12" t="s">
        <v>366</v>
      </c>
      <c r="C168" s="13" t="s">
        <v>367</v>
      </c>
      <c r="D168" s="14" t="s">
        <v>15</v>
      </c>
      <c r="E168" s="14" t="s">
        <v>16</v>
      </c>
      <c r="F168" s="15">
        <v>42506</v>
      </c>
      <c r="G168" s="16">
        <v>0.8</v>
      </c>
      <c r="H168" s="15"/>
      <c r="I168" s="16"/>
      <c r="J168" s="15"/>
      <c r="K168" s="16"/>
      <c r="L168" s="15"/>
      <c r="M168" s="104"/>
      <c r="N168" s="17"/>
      <c r="O168" s="16"/>
      <c r="P168" s="18">
        <f t="shared" si="2"/>
        <v>0.8</v>
      </c>
    </row>
    <row r="169" spans="1:17" x14ac:dyDescent="0.25">
      <c r="A169" s="33"/>
      <c r="B169" s="37" t="s">
        <v>480</v>
      </c>
      <c r="C169" s="13" t="s">
        <v>481</v>
      </c>
      <c r="D169" s="14" t="s">
        <v>237</v>
      </c>
      <c r="E169" s="14" t="s">
        <v>16</v>
      </c>
      <c r="F169" s="15">
        <v>42361</v>
      </c>
      <c r="G169" s="16">
        <v>0.13950000000000001</v>
      </c>
      <c r="H169" s="15">
        <v>42492</v>
      </c>
      <c r="I169" s="16">
        <v>0.159</v>
      </c>
      <c r="J169" s="15">
        <v>42510</v>
      </c>
      <c r="K169" s="118">
        <v>7.8102000000000005E-2</v>
      </c>
      <c r="L169" s="15"/>
      <c r="M169" s="104"/>
      <c r="N169" s="17"/>
      <c r="O169" s="16"/>
      <c r="P169" s="18">
        <f t="shared" si="2"/>
        <v>0.37660199999999999</v>
      </c>
      <c r="Q169" s="36"/>
    </row>
    <row r="170" spans="1:17" x14ac:dyDescent="0.25">
      <c r="B170" s="12" t="s">
        <v>368</v>
      </c>
      <c r="C170" s="13" t="s">
        <v>369</v>
      </c>
      <c r="D170" s="14" t="s">
        <v>27</v>
      </c>
      <c r="E170" s="14" t="s">
        <v>16</v>
      </c>
      <c r="F170" s="15">
        <v>42487</v>
      </c>
      <c r="G170" s="16">
        <v>1</v>
      </c>
      <c r="H170" s="15">
        <v>42711</v>
      </c>
      <c r="I170" s="16">
        <v>0.5</v>
      </c>
      <c r="J170" s="15"/>
      <c r="K170" s="16"/>
      <c r="L170" s="15"/>
      <c r="M170" s="104"/>
      <c r="N170" s="17"/>
      <c r="O170" s="16"/>
      <c r="P170" s="18">
        <f t="shared" si="2"/>
        <v>1.5</v>
      </c>
    </row>
    <row r="171" spans="1:17" x14ac:dyDescent="0.25">
      <c r="A171" s="33"/>
      <c r="B171" s="37" t="s">
        <v>370</v>
      </c>
      <c r="C171" s="13" t="s">
        <v>371</v>
      </c>
      <c r="D171" s="14" t="s">
        <v>15</v>
      </c>
      <c r="E171" s="14" t="s">
        <v>77</v>
      </c>
      <c r="F171" s="15">
        <v>42453</v>
      </c>
      <c r="G171" s="16">
        <v>26.269400000000001</v>
      </c>
      <c r="H171" s="15">
        <v>42607</v>
      </c>
      <c r="I171" s="16">
        <v>12.93</v>
      </c>
      <c r="J171" s="15"/>
      <c r="K171" s="16"/>
      <c r="L171" s="15"/>
      <c r="M171" s="104"/>
      <c r="N171" s="17"/>
      <c r="O171" s="16"/>
      <c r="P171" s="18">
        <f t="shared" si="2"/>
        <v>39.199399999999997</v>
      </c>
      <c r="Q171" s="36"/>
    </row>
    <row r="172" spans="1:17" x14ac:dyDescent="0.25">
      <c r="A172" s="33"/>
      <c r="B172" s="37" t="s">
        <v>372</v>
      </c>
      <c r="C172" s="13" t="s">
        <v>373</v>
      </c>
      <c r="D172" s="14" t="s">
        <v>24</v>
      </c>
      <c r="E172" s="14" t="s">
        <v>16</v>
      </c>
      <c r="F172" s="15">
        <v>42524</v>
      </c>
      <c r="G172" s="16">
        <v>1.6</v>
      </c>
      <c r="H172" s="15"/>
      <c r="I172" s="16"/>
      <c r="J172" s="15"/>
      <c r="K172" s="16"/>
      <c r="L172" s="15"/>
      <c r="M172" s="104"/>
      <c r="N172" s="17"/>
      <c r="O172" s="16"/>
      <c r="P172" s="18">
        <f t="shared" si="2"/>
        <v>1.6</v>
      </c>
      <c r="Q172" s="36"/>
    </row>
    <row r="173" spans="1:17" x14ac:dyDescent="0.25">
      <c r="B173" s="12" t="s">
        <v>374</v>
      </c>
      <c r="C173" s="13" t="s">
        <v>375</v>
      </c>
      <c r="D173" s="14" t="s">
        <v>15</v>
      </c>
      <c r="E173" s="14" t="s">
        <v>16</v>
      </c>
      <c r="F173" s="15">
        <v>42464</v>
      </c>
      <c r="G173" s="16">
        <v>1.68</v>
      </c>
      <c r="H173" s="15"/>
      <c r="I173" s="16"/>
      <c r="J173" s="15"/>
      <c r="K173" s="16"/>
      <c r="L173" s="15"/>
      <c r="M173" s="104"/>
      <c r="N173" s="17"/>
      <c r="O173" s="16"/>
      <c r="P173" s="18">
        <f t="shared" si="2"/>
        <v>1.68</v>
      </c>
    </row>
    <row r="174" spans="1:17" x14ac:dyDescent="0.25">
      <c r="B174" s="12" t="s">
        <v>376</v>
      </c>
      <c r="C174" s="13" t="s">
        <v>377</v>
      </c>
      <c r="D174" s="14" t="s">
        <v>15</v>
      </c>
      <c r="E174" s="14" t="s">
        <v>77</v>
      </c>
      <c r="F174" s="15">
        <v>42474</v>
      </c>
      <c r="G174" s="16">
        <v>88.7</v>
      </c>
      <c r="H174" s="15">
        <v>42600</v>
      </c>
      <c r="I174" s="16">
        <v>58.2</v>
      </c>
      <c r="J174" s="15"/>
      <c r="K174" s="16"/>
      <c r="L174" s="15"/>
      <c r="M174" s="104"/>
      <c r="N174" s="17"/>
      <c r="O174" s="16"/>
      <c r="P174" s="18">
        <f t="shared" si="2"/>
        <v>146.9</v>
      </c>
    </row>
    <row r="175" spans="1:17" x14ac:dyDescent="0.25">
      <c r="B175" s="12" t="s">
        <v>378</v>
      </c>
      <c r="C175" s="13" t="s">
        <v>379</v>
      </c>
      <c r="D175" s="14" t="s">
        <v>15</v>
      </c>
      <c r="E175" s="14" t="s">
        <v>16</v>
      </c>
      <c r="F175" s="29">
        <v>42373</v>
      </c>
      <c r="G175" s="71">
        <v>0.22264999999999999</v>
      </c>
      <c r="H175" s="29">
        <v>42549</v>
      </c>
      <c r="I175" s="71">
        <v>0.57984999999999998</v>
      </c>
      <c r="J175" s="15"/>
      <c r="K175" s="16"/>
      <c r="L175" s="15"/>
      <c r="M175" s="104"/>
      <c r="N175" s="17"/>
      <c r="O175" s="16"/>
      <c r="P175" s="18">
        <f t="shared" si="2"/>
        <v>0.80249999999999999</v>
      </c>
    </row>
    <row r="176" spans="1:17" x14ac:dyDescent="0.25">
      <c r="B176" s="12" t="s">
        <v>380</v>
      </c>
      <c r="C176" s="13" t="s">
        <v>381</v>
      </c>
      <c r="D176" s="14" t="s">
        <v>15</v>
      </c>
      <c r="E176" s="14" t="s">
        <v>16</v>
      </c>
      <c r="F176" s="15">
        <v>42488</v>
      </c>
      <c r="G176" s="16">
        <v>0.28799999999999998</v>
      </c>
      <c r="H176" s="15">
        <v>42586</v>
      </c>
      <c r="I176" s="16">
        <v>0.122</v>
      </c>
      <c r="J176" s="15"/>
      <c r="K176" s="16"/>
      <c r="L176" s="15"/>
      <c r="M176" s="104"/>
      <c r="N176" s="17"/>
      <c r="O176" s="16"/>
      <c r="P176" s="18">
        <f t="shared" si="2"/>
        <v>0.41</v>
      </c>
    </row>
    <row r="177" spans="2:16" x14ac:dyDescent="0.25">
      <c r="B177" s="12" t="s">
        <v>382</v>
      </c>
      <c r="C177" s="13" t="s">
        <v>383</v>
      </c>
      <c r="D177" s="14" t="s">
        <v>15</v>
      </c>
      <c r="E177" s="14" t="s">
        <v>77</v>
      </c>
      <c r="F177" s="15">
        <v>42488</v>
      </c>
      <c r="G177" s="16">
        <v>22.3</v>
      </c>
      <c r="H177" s="15">
        <v>42586</v>
      </c>
      <c r="I177" s="16">
        <v>10.25</v>
      </c>
      <c r="J177" s="15"/>
      <c r="K177" s="16"/>
      <c r="L177" s="15"/>
      <c r="M177" s="104"/>
      <c r="N177" s="17"/>
      <c r="O177" s="16"/>
      <c r="P177" s="18">
        <f t="shared" si="2"/>
        <v>32.549999999999997</v>
      </c>
    </row>
    <row r="178" spans="2:16" x14ac:dyDescent="0.25">
      <c r="B178" s="12" t="s">
        <v>384</v>
      </c>
      <c r="C178" s="13" t="s">
        <v>385</v>
      </c>
      <c r="D178" s="14" t="s">
        <v>24</v>
      </c>
      <c r="E178" s="14" t="s">
        <v>16</v>
      </c>
      <c r="F178" s="15">
        <v>42503</v>
      </c>
      <c r="G178" s="16">
        <v>2.4</v>
      </c>
      <c r="H178" s="15"/>
      <c r="I178" s="16"/>
      <c r="J178" s="15"/>
      <c r="K178" s="16"/>
      <c r="L178" s="15"/>
      <c r="M178" s="104"/>
      <c r="N178" s="17"/>
      <c r="O178" s="16"/>
      <c r="P178" s="18">
        <f t="shared" si="2"/>
        <v>2.4</v>
      </c>
    </row>
    <row r="179" spans="2:16" x14ac:dyDescent="0.25">
      <c r="B179" s="12" t="s">
        <v>386</v>
      </c>
      <c r="C179" s="13" t="s">
        <v>387</v>
      </c>
      <c r="D179" s="14" t="s">
        <v>15</v>
      </c>
      <c r="E179" s="14" t="s">
        <v>16</v>
      </c>
      <c r="F179" s="15">
        <v>42359</v>
      </c>
      <c r="G179" s="16">
        <v>0.46600000000000003</v>
      </c>
      <c r="H179" s="15">
        <v>42537</v>
      </c>
      <c r="I179" s="16">
        <v>0.29199999999999998</v>
      </c>
      <c r="J179" s="15"/>
      <c r="K179" s="16"/>
      <c r="L179" s="15"/>
      <c r="M179" s="104"/>
      <c r="N179" s="17"/>
      <c r="O179" s="16"/>
      <c r="P179" s="18">
        <f t="shared" si="2"/>
        <v>0.75800000000000001</v>
      </c>
    </row>
    <row r="180" spans="2:16" x14ac:dyDescent="0.25">
      <c r="B180" s="12" t="s">
        <v>388</v>
      </c>
      <c r="C180" s="13" t="s">
        <v>389</v>
      </c>
      <c r="D180" s="14" t="s">
        <v>15</v>
      </c>
      <c r="E180" s="14" t="s">
        <v>77</v>
      </c>
      <c r="F180" s="15">
        <v>42425</v>
      </c>
      <c r="G180" s="16">
        <v>77.274500000000003</v>
      </c>
      <c r="H180" s="15">
        <v>42593</v>
      </c>
      <c r="I180" s="16">
        <v>33.799999999999997</v>
      </c>
      <c r="J180" s="15"/>
      <c r="K180" s="16"/>
      <c r="L180" s="15"/>
      <c r="M180" s="104"/>
      <c r="N180" s="17"/>
      <c r="O180" s="16"/>
      <c r="P180" s="18">
        <f t="shared" si="2"/>
        <v>111.0745</v>
      </c>
    </row>
    <row r="181" spans="2:16" x14ac:dyDescent="0.25">
      <c r="B181" s="12" t="s">
        <v>390</v>
      </c>
      <c r="C181" s="13" t="s">
        <v>391</v>
      </c>
      <c r="D181" s="14" t="s">
        <v>15</v>
      </c>
      <c r="E181" s="14" t="s">
        <v>21</v>
      </c>
      <c r="F181" s="15">
        <v>42432</v>
      </c>
      <c r="G181" s="16">
        <v>8.1</v>
      </c>
      <c r="H181" s="15"/>
      <c r="I181" s="16"/>
      <c r="J181" s="15"/>
      <c r="K181" s="16"/>
      <c r="L181" s="15"/>
      <c r="M181" s="104"/>
      <c r="N181" s="17"/>
      <c r="O181" s="16"/>
      <c r="P181" s="18">
        <f t="shared" si="2"/>
        <v>8.1</v>
      </c>
    </row>
    <row r="182" spans="2:16" x14ac:dyDescent="0.25">
      <c r="B182" s="12" t="s">
        <v>392</v>
      </c>
      <c r="C182" s="13" t="s">
        <v>393</v>
      </c>
      <c r="D182" s="14" t="s">
        <v>15</v>
      </c>
      <c r="E182" s="14" t="s">
        <v>77</v>
      </c>
      <c r="F182" s="15">
        <v>42488</v>
      </c>
      <c r="G182" s="16">
        <v>7.1</v>
      </c>
      <c r="H182" s="15">
        <v>42663</v>
      </c>
      <c r="I182" s="16">
        <v>4.5999999999999996</v>
      </c>
      <c r="J182" s="15"/>
      <c r="K182" s="16"/>
      <c r="L182" s="15"/>
      <c r="M182" s="104"/>
      <c r="N182" s="17"/>
      <c r="O182" s="16"/>
      <c r="P182" s="18">
        <f t="shared" si="2"/>
        <v>11.7</v>
      </c>
    </row>
    <row r="183" spans="2:16" x14ac:dyDescent="0.25">
      <c r="B183" s="12" t="s">
        <v>394</v>
      </c>
      <c r="C183" s="13" t="s">
        <v>395</v>
      </c>
      <c r="D183" s="14" t="s">
        <v>15</v>
      </c>
      <c r="E183" s="14" t="s">
        <v>16</v>
      </c>
      <c r="F183" s="15">
        <v>42418</v>
      </c>
      <c r="G183" s="16">
        <v>0.42209999999999998</v>
      </c>
      <c r="H183" s="15">
        <v>42509</v>
      </c>
      <c r="I183" s="119">
        <v>0.41670000000000001</v>
      </c>
      <c r="J183" s="15">
        <v>42593</v>
      </c>
      <c r="K183" s="16">
        <v>0.42020000000000002</v>
      </c>
      <c r="L183" s="15">
        <v>42684</v>
      </c>
      <c r="M183" s="16">
        <v>0.42642000000000002</v>
      </c>
      <c r="N183" s="17"/>
      <c r="O183" s="120"/>
      <c r="P183" s="18">
        <f t="shared" si="2"/>
        <v>1.6854199999999999</v>
      </c>
    </row>
    <row r="184" spans="2:16" x14ac:dyDescent="0.25">
      <c r="B184" s="12" t="s">
        <v>396</v>
      </c>
      <c r="C184" s="13" t="s">
        <v>397</v>
      </c>
      <c r="D184" s="14" t="s">
        <v>15</v>
      </c>
      <c r="E184" s="14" t="s">
        <v>16</v>
      </c>
      <c r="F184" s="15"/>
      <c r="G184" s="16"/>
      <c r="H184" s="15"/>
      <c r="I184" s="16"/>
      <c r="J184" s="15"/>
      <c r="K184" s="16"/>
      <c r="L184" s="15"/>
      <c r="M184" s="104"/>
      <c r="N184" s="17"/>
      <c r="O184" s="16"/>
      <c r="P184" s="18">
        <f t="shared" si="2"/>
        <v>0</v>
      </c>
    </row>
    <row r="185" spans="2:16" x14ac:dyDescent="0.25">
      <c r="B185" s="12" t="s">
        <v>398</v>
      </c>
      <c r="C185" s="13" t="s">
        <v>399</v>
      </c>
      <c r="D185" s="14" t="s">
        <v>24</v>
      </c>
      <c r="E185" s="14" t="s">
        <v>16</v>
      </c>
      <c r="F185" s="15">
        <v>42359</v>
      </c>
      <c r="G185" s="16">
        <v>0.6</v>
      </c>
      <c r="H185" s="15">
        <v>42513</v>
      </c>
      <c r="I185" s="16">
        <v>0.78</v>
      </c>
      <c r="J185" s="15"/>
      <c r="K185" s="16"/>
      <c r="L185" s="15"/>
      <c r="M185" s="104"/>
      <c r="N185" s="17"/>
      <c r="O185" s="16"/>
      <c r="P185" s="18">
        <f>G185+I185+K185+O185+M185</f>
        <v>1.38</v>
      </c>
    </row>
    <row r="186" spans="2:16" x14ac:dyDescent="0.25">
      <c r="B186" s="12" t="s">
        <v>400</v>
      </c>
      <c r="C186" s="13" t="s">
        <v>401</v>
      </c>
      <c r="D186" s="14" t="s">
        <v>24</v>
      </c>
      <c r="E186" s="14" t="s">
        <v>16</v>
      </c>
      <c r="F186" s="15">
        <v>42527</v>
      </c>
      <c r="G186" s="16">
        <v>1.24</v>
      </c>
      <c r="H186" s="15"/>
      <c r="I186" s="16"/>
      <c r="J186" s="15"/>
      <c r="K186" s="16"/>
      <c r="L186" s="15"/>
      <c r="M186" s="104"/>
      <c r="N186" s="17"/>
      <c r="O186" s="16"/>
      <c r="P186" s="18">
        <f t="shared" si="2"/>
        <v>1.24</v>
      </c>
    </row>
    <row r="187" spans="2:16" x14ac:dyDescent="0.25">
      <c r="B187" s="12" t="s">
        <v>402</v>
      </c>
      <c r="C187" s="13" t="s">
        <v>403</v>
      </c>
      <c r="D187" s="14" t="s">
        <v>15</v>
      </c>
      <c r="E187" s="14" t="s">
        <v>16</v>
      </c>
      <c r="F187" s="15">
        <v>42513</v>
      </c>
      <c r="G187" s="16">
        <v>0.46</v>
      </c>
      <c r="H187" s="15"/>
      <c r="I187" s="16"/>
      <c r="J187" s="15"/>
      <c r="K187" s="16"/>
      <c r="L187" s="15"/>
      <c r="M187" s="104"/>
      <c r="N187" s="17"/>
      <c r="O187" s="16"/>
      <c r="P187" s="18">
        <f t="shared" si="2"/>
        <v>0.46</v>
      </c>
    </row>
    <row r="188" spans="2:16" x14ac:dyDescent="0.25">
      <c r="B188" s="12" t="s">
        <v>406</v>
      </c>
      <c r="C188" s="13" t="s">
        <v>407</v>
      </c>
      <c r="D188" s="14" t="s">
        <v>24</v>
      </c>
      <c r="E188" s="14" t="s">
        <v>16</v>
      </c>
      <c r="F188" s="15">
        <v>42500</v>
      </c>
      <c r="G188" s="16">
        <v>2.93</v>
      </c>
      <c r="H188" s="15"/>
      <c r="I188" s="16"/>
      <c r="J188" s="15"/>
      <c r="K188" s="16"/>
      <c r="L188" s="15"/>
      <c r="M188" s="104"/>
      <c r="N188" s="17"/>
      <c r="O188" s="16"/>
      <c r="P188" s="18">
        <f t="shared" si="2"/>
        <v>2.93</v>
      </c>
    </row>
    <row r="189" spans="2:16" x14ac:dyDescent="0.25">
      <c r="B189" s="12" t="s">
        <v>408</v>
      </c>
      <c r="C189" s="13" t="s">
        <v>409</v>
      </c>
      <c r="D189" s="14" t="s">
        <v>15</v>
      </c>
      <c r="E189" s="14" t="s">
        <v>16</v>
      </c>
      <c r="F189" s="15">
        <v>42503</v>
      </c>
      <c r="G189" s="16">
        <v>1.1499999999999999</v>
      </c>
      <c r="H189" s="15"/>
      <c r="I189" s="16"/>
      <c r="J189" s="15"/>
      <c r="K189" s="16"/>
      <c r="L189" s="15"/>
      <c r="M189" s="104"/>
      <c r="N189" s="17"/>
      <c r="O189" s="16"/>
      <c r="P189" s="18">
        <f t="shared" si="2"/>
        <v>1.1499999999999999</v>
      </c>
    </row>
    <row r="190" spans="2:16" x14ac:dyDescent="0.25">
      <c r="B190" s="12" t="s">
        <v>410</v>
      </c>
      <c r="C190" s="13" t="s">
        <v>411</v>
      </c>
      <c r="D190" s="14" t="s">
        <v>15</v>
      </c>
      <c r="E190" s="14" t="s">
        <v>16</v>
      </c>
      <c r="F190" s="110" t="s">
        <v>677</v>
      </c>
      <c r="G190" s="111" t="s">
        <v>661</v>
      </c>
      <c r="H190" s="112"/>
      <c r="I190" s="113"/>
      <c r="J190" s="112"/>
      <c r="K190" s="113"/>
      <c r="L190" s="112"/>
      <c r="M190" s="114"/>
      <c r="N190" s="115"/>
      <c r="O190" s="113"/>
      <c r="P190" s="116"/>
    </row>
    <row r="191" spans="2:16" x14ac:dyDescent="0.25">
      <c r="B191" s="12" t="s">
        <v>412</v>
      </c>
      <c r="C191" s="13" t="s">
        <v>413</v>
      </c>
      <c r="D191" s="14" t="s">
        <v>24</v>
      </c>
      <c r="E191" s="14" t="s">
        <v>16</v>
      </c>
      <c r="F191" s="15">
        <v>42495</v>
      </c>
      <c r="G191" s="16">
        <v>2</v>
      </c>
      <c r="H191" s="15"/>
      <c r="I191" s="16"/>
      <c r="J191" s="15"/>
      <c r="K191" s="16"/>
      <c r="L191" s="15"/>
      <c r="M191" s="104"/>
      <c r="N191" s="17"/>
      <c r="O191" s="16"/>
      <c r="P191" s="18">
        <f t="shared" si="2"/>
        <v>2</v>
      </c>
    </row>
    <row r="192" spans="2:16" x14ac:dyDescent="0.25">
      <c r="B192" s="12" t="s">
        <v>414</v>
      </c>
      <c r="C192" s="13" t="s">
        <v>415</v>
      </c>
      <c r="D192" s="14" t="s">
        <v>24</v>
      </c>
      <c r="E192" s="14" t="s">
        <v>16</v>
      </c>
      <c r="F192" s="15">
        <v>42488</v>
      </c>
      <c r="G192" s="16">
        <v>1.5</v>
      </c>
      <c r="H192" s="15"/>
      <c r="I192" s="16"/>
      <c r="J192" s="15"/>
      <c r="K192" s="16"/>
      <c r="L192" s="15"/>
      <c r="M192" s="104"/>
      <c r="N192" s="17"/>
      <c r="O192" s="16"/>
      <c r="P192" s="18">
        <f>G192+I192+K192+O192+M192</f>
        <v>1.5</v>
      </c>
    </row>
    <row r="193" spans="2:16" x14ac:dyDescent="0.25">
      <c r="B193" s="12" t="s">
        <v>416</v>
      </c>
      <c r="C193" s="13" t="s">
        <v>417</v>
      </c>
      <c r="D193" s="14" t="s">
        <v>237</v>
      </c>
      <c r="E193" s="14" t="s">
        <v>16</v>
      </c>
      <c r="F193" s="15">
        <v>42362</v>
      </c>
      <c r="G193" s="16">
        <v>0.75</v>
      </c>
      <c r="H193" s="15">
        <v>42493</v>
      </c>
      <c r="I193" s="16">
        <v>0.32900000000000001</v>
      </c>
      <c r="J193" s="15"/>
      <c r="K193" s="16"/>
      <c r="L193" s="15"/>
      <c r="M193" s="104"/>
      <c r="N193" s="17"/>
      <c r="O193" s="16"/>
      <c r="P193" s="18">
        <f t="shared" si="2"/>
        <v>1.079</v>
      </c>
    </row>
    <row r="194" spans="2:16" x14ac:dyDescent="0.25">
      <c r="B194" s="12" t="s">
        <v>418</v>
      </c>
      <c r="C194" s="13" t="s">
        <v>419</v>
      </c>
      <c r="D194" s="14" t="s">
        <v>15</v>
      </c>
      <c r="E194" s="14" t="s">
        <v>77</v>
      </c>
      <c r="F194" s="15">
        <v>42537</v>
      </c>
      <c r="G194" s="16">
        <v>48.4</v>
      </c>
      <c r="H194" s="15">
        <v>42705</v>
      </c>
      <c r="I194" s="16">
        <v>32.6</v>
      </c>
      <c r="J194" s="15"/>
      <c r="K194" s="16"/>
      <c r="L194" s="15"/>
      <c r="M194" s="104"/>
      <c r="N194" s="17"/>
      <c r="O194" s="16"/>
      <c r="P194" s="18">
        <f t="shared" si="2"/>
        <v>81</v>
      </c>
    </row>
    <row r="195" spans="2:16" x14ac:dyDescent="0.25">
      <c r="B195" s="12" t="s">
        <v>420</v>
      </c>
      <c r="C195" s="13" t="s">
        <v>421</v>
      </c>
      <c r="D195" s="14" t="s">
        <v>15</v>
      </c>
      <c r="E195" s="14" t="s">
        <v>21</v>
      </c>
      <c r="F195" s="15">
        <v>42445</v>
      </c>
      <c r="G195" s="16">
        <v>68</v>
      </c>
      <c r="H195" s="15"/>
      <c r="I195" s="16"/>
      <c r="J195" s="15"/>
      <c r="K195" s="16"/>
      <c r="L195" s="15"/>
      <c r="M195" s="104"/>
      <c r="N195" s="17"/>
      <c r="O195" s="16"/>
      <c r="P195" s="18">
        <f t="shared" si="2"/>
        <v>68</v>
      </c>
    </row>
    <row r="196" spans="2:16" x14ac:dyDescent="0.25">
      <c r="B196" s="12" t="s">
        <v>422</v>
      </c>
      <c r="C196" s="13" t="s">
        <v>423</v>
      </c>
      <c r="D196" s="14" t="s">
        <v>15</v>
      </c>
      <c r="E196" s="14" t="s">
        <v>77</v>
      </c>
      <c r="F196" s="15">
        <v>42439</v>
      </c>
      <c r="G196" s="16">
        <v>15.32</v>
      </c>
      <c r="H196" s="15">
        <v>42621</v>
      </c>
      <c r="I196" s="16">
        <v>3.51</v>
      </c>
      <c r="J196" s="15"/>
      <c r="K196" s="16"/>
      <c r="L196" s="15"/>
      <c r="M196" s="104"/>
      <c r="N196" s="17"/>
      <c r="O196" s="16"/>
      <c r="P196" s="18">
        <f t="shared" si="2"/>
        <v>18.829999999999998</v>
      </c>
    </row>
    <row r="197" spans="2:16" x14ac:dyDescent="0.25">
      <c r="B197" s="12" t="s">
        <v>424</v>
      </c>
      <c r="C197" s="13" t="s">
        <v>425</v>
      </c>
      <c r="D197" s="14" t="s">
        <v>15</v>
      </c>
      <c r="E197" s="14" t="s">
        <v>16</v>
      </c>
      <c r="F197" s="15">
        <v>42396</v>
      </c>
      <c r="G197" s="16">
        <v>3.5</v>
      </c>
      <c r="H197" s="15"/>
      <c r="I197" s="16"/>
      <c r="J197" s="15"/>
      <c r="K197" s="16"/>
      <c r="L197" s="15"/>
      <c r="M197" s="104"/>
      <c r="N197" s="17"/>
      <c r="O197" s="16"/>
      <c r="P197" s="18">
        <f>G197+I197+K197+O197+M197</f>
        <v>3.5</v>
      </c>
    </row>
    <row r="198" spans="2:16" x14ac:dyDescent="0.25">
      <c r="B198" s="31" t="s">
        <v>426</v>
      </c>
      <c r="C198" s="32" t="s">
        <v>427</v>
      </c>
      <c r="D198" s="39" t="s">
        <v>15</v>
      </c>
      <c r="E198" s="39" t="s">
        <v>200</v>
      </c>
      <c r="F198" s="110" t="s">
        <v>677</v>
      </c>
      <c r="G198" s="111" t="s">
        <v>661</v>
      </c>
      <c r="H198" s="112"/>
      <c r="I198" s="113"/>
      <c r="J198" s="112"/>
      <c r="K198" s="113"/>
      <c r="L198" s="112"/>
      <c r="M198" s="114"/>
      <c r="N198" s="115"/>
      <c r="O198" s="113"/>
      <c r="P198" s="116"/>
    </row>
    <row r="199" spans="2:16" ht="15.75" thickBot="1" x14ac:dyDescent="0.3">
      <c r="B199" s="31" t="s">
        <v>428</v>
      </c>
      <c r="C199" s="32" t="s">
        <v>429</v>
      </c>
      <c r="D199" s="39" t="s">
        <v>15</v>
      </c>
      <c r="E199" s="39" t="s">
        <v>77</v>
      </c>
      <c r="F199" s="40">
        <v>42453</v>
      </c>
      <c r="G199" s="41">
        <v>12.55</v>
      </c>
      <c r="H199" s="40">
        <v>42649</v>
      </c>
      <c r="I199" s="41">
        <v>20.95</v>
      </c>
      <c r="J199" s="40"/>
      <c r="K199" s="41"/>
      <c r="L199" s="40"/>
      <c r="M199" s="121"/>
      <c r="N199" s="42"/>
      <c r="O199" s="41"/>
      <c r="P199" s="18">
        <f>G199+I199+K199+O199+M199</f>
        <v>33.5</v>
      </c>
    </row>
    <row r="200" spans="2:16" x14ac:dyDescent="0.25">
      <c r="B200" s="50" t="s">
        <v>434</v>
      </c>
      <c r="C200" s="51" t="s">
        <v>433</v>
      </c>
      <c r="D200" s="52" t="s">
        <v>15</v>
      </c>
      <c r="E200" s="52" t="s">
        <v>16</v>
      </c>
      <c r="F200" s="122">
        <v>42513</v>
      </c>
      <c r="G200" s="123">
        <v>0.25</v>
      </c>
      <c r="H200" s="53"/>
      <c r="I200" s="54"/>
      <c r="J200" s="53"/>
      <c r="K200" s="54"/>
      <c r="L200" s="53"/>
      <c r="M200" s="124"/>
      <c r="N200" s="55"/>
      <c r="O200" s="54"/>
      <c r="P200" s="125"/>
    </row>
    <row r="201" spans="2:16" ht="15.75" thickBot="1" x14ac:dyDescent="0.3">
      <c r="B201" s="56" t="s">
        <v>432</v>
      </c>
      <c r="C201" s="57" t="s">
        <v>433</v>
      </c>
      <c r="D201" s="58" t="s">
        <v>15</v>
      </c>
      <c r="E201" s="58" t="s">
        <v>16</v>
      </c>
      <c r="F201" s="59"/>
      <c r="G201" s="60"/>
      <c r="H201" s="59"/>
      <c r="I201" s="60"/>
      <c r="J201" s="59"/>
      <c r="K201" s="60"/>
      <c r="L201" s="59"/>
      <c r="M201" s="126"/>
      <c r="N201" s="61"/>
      <c r="O201" s="60"/>
      <c r="P201" s="62">
        <f>G200+I200+K200+O200+0.2*G201+0.2*I201+0.2*K201+0.2*O201</f>
        <v>0.25</v>
      </c>
    </row>
    <row r="202" spans="2:16" x14ac:dyDescent="0.25">
      <c r="B202" s="44" t="s">
        <v>435</v>
      </c>
      <c r="C202" s="35" t="s">
        <v>436</v>
      </c>
      <c r="D202" s="45" t="s">
        <v>24</v>
      </c>
      <c r="E202" s="45" t="s">
        <v>16</v>
      </c>
      <c r="F202" s="46">
        <v>42515</v>
      </c>
      <c r="G202" s="47">
        <v>2</v>
      </c>
      <c r="H202" s="46"/>
      <c r="I202" s="47"/>
      <c r="J202" s="46"/>
      <c r="K202" s="47"/>
      <c r="L202" s="46"/>
      <c r="M202" s="127"/>
      <c r="N202" s="48"/>
      <c r="O202" s="47"/>
      <c r="P202" s="18">
        <f>G202+I202+K202+O202+M202</f>
        <v>2</v>
      </c>
    </row>
    <row r="203" spans="2:16" x14ac:dyDescent="0.25">
      <c r="B203" s="12" t="s">
        <v>437</v>
      </c>
      <c r="C203" s="13" t="s">
        <v>438</v>
      </c>
      <c r="D203" s="14" t="s">
        <v>24</v>
      </c>
      <c r="E203" s="14" t="s">
        <v>16</v>
      </c>
      <c r="F203" s="110" t="s">
        <v>677</v>
      </c>
      <c r="G203" s="111" t="s">
        <v>661</v>
      </c>
      <c r="H203" s="112"/>
      <c r="I203" s="113"/>
      <c r="J203" s="112"/>
      <c r="K203" s="113"/>
      <c r="L203" s="112"/>
      <c r="M203" s="114"/>
      <c r="N203" s="115"/>
      <c r="O203" s="113"/>
      <c r="P203" s="116"/>
    </row>
    <row r="204" spans="2:16" x14ac:dyDescent="0.25">
      <c r="B204" s="12" t="s">
        <v>439</v>
      </c>
      <c r="C204" s="13" t="s">
        <v>440</v>
      </c>
      <c r="D204" s="14" t="s">
        <v>27</v>
      </c>
      <c r="E204" s="14" t="s">
        <v>16</v>
      </c>
      <c r="F204" s="15">
        <v>42388</v>
      </c>
      <c r="G204" s="16">
        <v>1.36</v>
      </c>
      <c r="H204" s="15">
        <v>42503</v>
      </c>
      <c r="I204" s="16">
        <v>1.94</v>
      </c>
      <c r="J204" s="15"/>
      <c r="K204" s="16"/>
      <c r="L204" s="15"/>
      <c r="M204" s="104"/>
      <c r="N204" s="17"/>
      <c r="O204" s="16"/>
      <c r="P204" s="18">
        <f t="shared" ref="P204:P210" si="3">G204+I204+K204+O204+M204</f>
        <v>3.3</v>
      </c>
    </row>
    <row r="205" spans="2:16" x14ac:dyDescent="0.25">
      <c r="B205" s="12" t="s">
        <v>441</v>
      </c>
      <c r="C205" s="13" t="s">
        <v>442</v>
      </c>
      <c r="D205" s="14" t="s">
        <v>27</v>
      </c>
      <c r="E205" s="14" t="s">
        <v>16</v>
      </c>
      <c r="F205" s="15">
        <v>42388</v>
      </c>
      <c r="G205" s="16">
        <v>1.36</v>
      </c>
      <c r="H205" s="15">
        <v>42503</v>
      </c>
      <c r="I205" s="16">
        <v>1.94</v>
      </c>
      <c r="J205" s="15"/>
      <c r="K205" s="16"/>
      <c r="L205" s="15"/>
      <c r="M205" s="104"/>
      <c r="N205" s="17"/>
      <c r="O205" s="16"/>
      <c r="P205" s="18">
        <f t="shared" si="3"/>
        <v>3.3</v>
      </c>
    </row>
    <row r="206" spans="2:16" x14ac:dyDescent="0.25">
      <c r="B206" s="12" t="s">
        <v>445</v>
      </c>
      <c r="C206" s="13" t="s">
        <v>446</v>
      </c>
      <c r="D206" s="14" t="s">
        <v>15</v>
      </c>
      <c r="E206" s="14" t="s">
        <v>77</v>
      </c>
      <c r="F206" s="15">
        <v>42390</v>
      </c>
      <c r="G206" s="16">
        <v>26.9</v>
      </c>
      <c r="H206" s="15">
        <v>42579</v>
      </c>
      <c r="I206" s="16">
        <v>62.5</v>
      </c>
      <c r="J206" s="15"/>
      <c r="K206" s="16"/>
      <c r="L206" s="15"/>
      <c r="M206" s="104"/>
      <c r="N206" s="17"/>
      <c r="O206" s="16"/>
      <c r="P206" s="18">
        <f t="shared" si="3"/>
        <v>89.4</v>
      </c>
    </row>
    <row r="207" spans="2:16" x14ac:dyDescent="0.25">
      <c r="B207" s="12" t="s">
        <v>447</v>
      </c>
      <c r="C207" s="13" t="s">
        <v>448</v>
      </c>
      <c r="D207" s="14" t="s">
        <v>15</v>
      </c>
      <c r="E207" s="14" t="s">
        <v>56</v>
      </c>
      <c r="F207" s="15"/>
      <c r="G207" s="16"/>
      <c r="H207" s="15"/>
      <c r="I207" s="16"/>
      <c r="J207" s="15"/>
      <c r="K207" s="16"/>
      <c r="L207" s="15"/>
      <c r="M207" s="104"/>
      <c r="N207" s="17"/>
      <c r="O207" s="16"/>
      <c r="P207" s="18">
        <f t="shared" si="3"/>
        <v>0</v>
      </c>
    </row>
    <row r="208" spans="2:16" x14ac:dyDescent="0.25">
      <c r="B208" s="12" t="s">
        <v>680</v>
      </c>
      <c r="C208" s="13" t="s">
        <v>450</v>
      </c>
      <c r="D208" s="14" t="s">
        <v>15</v>
      </c>
      <c r="E208" s="14" t="s">
        <v>56</v>
      </c>
      <c r="F208" s="15">
        <v>42417</v>
      </c>
      <c r="G208" s="16">
        <v>0.22009999999999999</v>
      </c>
      <c r="H208" s="15">
        <v>42502</v>
      </c>
      <c r="I208" s="16">
        <v>0.22009999999999999</v>
      </c>
      <c r="J208" s="15">
        <v>42592</v>
      </c>
      <c r="K208" s="16">
        <v>0.22009999999999999</v>
      </c>
      <c r="L208" s="15">
        <v>42676</v>
      </c>
      <c r="M208" s="16">
        <v>0.22009999999999999</v>
      </c>
      <c r="N208" s="17"/>
      <c r="O208" s="16"/>
      <c r="P208" s="18">
        <f t="shared" si="3"/>
        <v>0.88039999999999996</v>
      </c>
    </row>
    <row r="209" spans="2:16" x14ac:dyDescent="0.25">
      <c r="B209" s="12" t="s">
        <v>451</v>
      </c>
      <c r="C209" s="13" t="s">
        <v>452</v>
      </c>
      <c r="D209" s="14" t="s">
        <v>15</v>
      </c>
      <c r="E209" s="14" t="s">
        <v>56</v>
      </c>
      <c r="F209" s="15">
        <v>42450</v>
      </c>
      <c r="G209" s="16">
        <v>0.1</v>
      </c>
      <c r="H209" s="15">
        <v>42541</v>
      </c>
      <c r="I209" s="16">
        <v>0.06</v>
      </c>
      <c r="J209" s="15">
        <v>42632</v>
      </c>
      <c r="K209" s="16">
        <v>0.06</v>
      </c>
      <c r="L209" s="15"/>
      <c r="M209" s="104"/>
      <c r="N209" s="17"/>
      <c r="O209" s="16"/>
      <c r="P209" s="18">
        <f t="shared" si="3"/>
        <v>0.22</v>
      </c>
    </row>
    <row r="210" spans="2:16" x14ac:dyDescent="0.25">
      <c r="B210" s="12" t="s">
        <v>453</v>
      </c>
      <c r="C210" s="13" t="s">
        <v>454</v>
      </c>
      <c r="D210" s="14" t="s">
        <v>24</v>
      </c>
      <c r="E210" s="14" t="s">
        <v>16</v>
      </c>
      <c r="F210" s="15">
        <v>42500</v>
      </c>
      <c r="G210" s="16">
        <v>0.65</v>
      </c>
      <c r="H210" s="15"/>
      <c r="I210" s="16"/>
      <c r="J210" s="15"/>
      <c r="K210" s="16"/>
      <c r="L210" s="15"/>
      <c r="M210" s="104"/>
      <c r="N210" s="17"/>
      <c r="O210" s="16"/>
      <c r="P210" s="18">
        <f t="shared" si="3"/>
        <v>0.65</v>
      </c>
    </row>
    <row r="211" spans="2:16" x14ac:dyDescent="0.25">
      <c r="B211" s="12" t="s">
        <v>455</v>
      </c>
      <c r="C211" s="13" t="s">
        <v>456</v>
      </c>
      <c r="D211" s="14" t="s">
        <v>15</v>
      </c>
      <c r="E211" s="14" t="s">
        <v>200</v>
      </c>
      <c r="F211" s="110" t="s">
        <v>677</v>
      </c>
      <c r="G211" s="111" t="s">
        <v>661</v>
      </c>
      <c r="H211" s="112"/>
      <c r="I211" s="113"/>
      <c r="J211" s="112"/>
      <c r="K211" s="113"/>
      <c r="L211" s="112"/>
      <c r="M211" s="114"/>
      <c r="N211" s="115"/>
      <c r="O211" s="113"/>
      <c r="P211" s="116"/>
    </row>
    <row r="212" spans="2:16" x14ac:dyDescent="0.25">
      <c r="B212" s="12" t="s">
        <v>457</v>
      </c>
      <c r="C212" s="13" t="s">
        <v>458</v>
      </c>
      <c r="D212" s="14" t="s">
        <v>15</v>
      </c>
      <c r="E212" s="14" t="s">
        <v>200</v>
      </c>
      <c r="F212" s="15">
        <v>42466</v>
      </c>
      <c r="G212" s="16">
        <v>10.7</v>
      </c>
      <c r="H212" s="15"/>
      <c r="I212" s="16"/>
      <c r="J212" s="15"/>
      <c r="K212" s="16"/>
      <c r="L212" s="15"/>
      <c r="M212" s="104"/>
      <c r="N212" s="17"/>
      <c r="O212" s="16"/>
      <c r="P212" s="18">
        <f>G212+I212+K212+O212+M212</f>
        <v>10.7</v>
      </c>
    </row>
    <row r="213" spans="2:16" x14ac:dyDescent="0.25">
      <c r="B213" s="12" t="s">
        <v>459</v>
      </c>
      <c r="C213" s="13" t="s">
        <v>460</v>
      </c>
      <c r="D213" s="14" t="s">
        <v>15</v>
      </c>
      <c r="E213" s="14" t="s">
        <v>200</v>
      </c>
      <c r="F213" s="110" t="s">
        <v>677</v>
      </c>
      <c r="G213" s="111" t="s">
        <v>661</v>
      </c>
      <c r="H213" s="112"/>
      <c r="I213" s="113"/>
      <c r="J213" s="112"/>
      <c r="K213" s="113"/>
      <c r="L213" s="112"/>
      <c r="M213" s="114"/>
      <c r="N213" s="115"/>
      <c r="O213" s="113"/>
      <c r="P213" s="116"/>
    </row>
    <row r="214" spans="2:16" x14ac:dyDescent="0.25">
      <c r="B214" s="12" t="s">
        <v>461</v>
      </c>
      <c r="C214" s="13" t="s">
        <v>462</v>
      </c>
      <c r="D214" s="14" t="s">
        <v>15</v>
      </c>
      <c r="E214" s="14" t="s">
        <v>21</v>
      </c>
      <c r="F214" s="15">
        <v>42486</v>
      </c>
      <c r="G214" s="16">
        <v>4.5999999999999996</v>
      </c>
      <c r="H214" s="15"/>
      <c r="I214" s="16"/>
      <c r="J214" s="15"/>
      <c r="K214" s="16"/>
      <c r="L214" s="15"/>
      <c r="M214" s="104"/>
      <c r="N214" s="17"/>
      <c r="O214" s="16"/>
      <c r="P214" s="18">
        <f t="shared" ref="P214:P216" si="4">G214+I214+K214+O214+M214</f>
        <v>4.5999999999999996</v>
      </c>
    </row>
    <row r="215" spans="2:16" x14ac:dyDescent="0.25">
      <c r="B215" s="12" t="s">
        <v>463</v>
      </c>
      <c r="C215" s="13" t="s">
        <v>464</v>
      </c>
      <c r="D215" s="14" t="s">
        <v>15</v>
      </c>
      <c r="E215" s="14" t="s">
        <v>21</v>
      </c>
      <c r="F215" s="15">
        <v>42468</v>
      </c>
      <c r="G215" s="16">
        <v>22</v>
      </c>
      <c r="H215" s="15"/>
      <c r="I215" s="16"/>
      <c r="J215" s="15"/>
      <c r="K215" s="16"/>
      <c r="L215" s="15"/>
      <c r="M215" s="104"/>
      <c r="N215" s="17"/>
      <c r="O215" s="16"/>
      <c r="P215" s="18">
        <f t="shared" si="4"/>
        <v>22</v>
      </c>
    </row>
    <row r="216" spans="2:16" x14ac:dyDescent="0.25">
      <c r="B216" s="12" t="s">
        <v>667</v>
      </c>
      <c r="C216" s="13" t="s">
        <v>466</v>
      </c>
      <c r="D216" s="14" t="s">
        <v>24</v>
      </c>
      <c r="E216" s="14" t="s">
        <v>16</v>
      </c>
      <c r="F216" s="15">
        <v>42494</v>
      </c>
      <c r="G216" s="16">
        <v>2</v>
      </c>
      <c r="H216" s="15"/>
      <c r="I216" s="16"/>
      <c r="J216" s="15"/>
      <c r="K216" s="16"/>
      <c r="L216" s="15"/>
      <c r="M216" s="104"/>
      <c r="N216" s="17"/>
      <c r="O216" s="16"/>
      <c r="P216" s="18">
        <f t="shared" si="4"/>
        <v>2</v>
      </c>
    </row>
    <row r="217" spans="2:16" x14ac:dyDescent="0.25">
      <c r="B217" s="12" t="s">
        <v>467</v>
      </c>
      <c r="C217" s="13" t="s">
        <v>468</v>
      </c>
      <c r="D217" s="14" t="s">
        <v>15</v>
      </c>
      <c r="E217" s="14" t="s">
        <v>200</v>
      </c>
      <c r="F217" s="110" t="s">
        <v>677</v>
      </c>
      <c r="G217" s="111" t="s">
        <v>661</v>
      </c>
      <c r="H217" s="112"/>
      <c r="I217" s="113"/>
      <c r="J217" s="112"/>
      <c r="K217" s="113"/>
      <c r="L217" s="112"/>
      <c r="M217" s="114"/>
      <c r="N217" s="115"/>
      <c r="O217" s="113"/>
      <c r="P217" s="116"/>
    </row>
    <row r="218" spans="2:16" x14ac:dyDescent="0.25">
      <c r="B218" s="12" t="s">
        <v>469</v>
      </c>
      <c r="C218" s="13" t="s">
        <v>470</v>
      </c>
      <c r="D218" s="14" t="s">
        <v>15</v>
      </c>
      <c r="E218" s="14" t="s">
        <v>16</v>
      </c>
      <c r="F218" s="15"/>
      <c r="G218" s="16"/>
      <c r="H218" s="15"/>
      <c r="I218" s="16"/>
      <c r="J218" s="15"/>
      <c r="K218" s="16"/>
      <c r="L218" s="15"/>
      <c r="M218" s="104"/>
      <c r="N218" s="15"/>
      <c r="O218" s="104"/>
      <c r="P218" s="18">
        <f t="shared" ref="P218:P234" si="5">G218+I218+K218+O218+M218</f>
        <v>0</v>
      </c>
    </row>
    <row r="219" spans="2:16" x14ac:dyDescent="0.25">
      <c r="B219" s="12" t="s">
        <v>471</v>
      </c>
      <c r="C219" s="13" t="s">
        <v>472</v>
      </c>
      <c r="D219" s="14" t="s">
        <v>15</v>
      </c>
      <c r="E219" s="14" t="s">
        <v>16</v>
      </c>
      <c r="F219" s="15">
        <v>42506</v>
      </c>
      <c r="G219" s="16">
        <v>0.4</v>
      </c>
      <c r="H219" s="15">
        <v>42689</v>
      </c>
      <c r="I219" s="16">
        <v>0.34</v>
      </c>
      <c r="J219" s="15"/>
      <c r="K219" s="16"/>
      <c r="L219" s="15"/>
      <c r="M219" s="104"/>
      <c r="N219" s="15"/>
      <c r="O219" s="104"/>
      <c r="P219" s="18">
        <f t="shared" si="5"/>
        <v>0.74</v>
      </c>
    </row>
    <row r="220" spans="2:16" x14ac:dyDescent="0.25">
      <c r="B220" s="12" t="s">
        <v>476</v>
      </c>
      <c r="C220" s="13" t="s">
        <v>477</v>
      </c>
      <c r="D220" s="14" t="s">
        <v>15</v>
      </c>
      <c r="E220" s="14" t="s">
        <v>200</v>
      </c>
      <c r="F220" s="15">
        <v>42473</v>
      </c>
      <c r="G220" s="16">
        <v>1.5</v>
      </c>
      <c r="H220" s="15">
        <v>42667</v>
      </c>
      <c r="I220" s="16">
        <v>1.5</v>
      </c>
      <c r="J220" s="15"/>
      <c r="K220" s="16"/>
      <c r="L220" s="15"/>
      <c r="M220" s="104"/>
      <c r="N220" s="15"/>
      <c r="O220" s="104"/>
      <c r="P220" s="18">
        <f t="shared" si="5"/>
        <v>3</v>
      </c>
    </row>
    <row r="221" spans="2:16" x14ac:dyDescent="0.25">
      <c r="B221" s="12" t="s">
        <v>478</v>
      </c>
      <c r="C221" s="13" t="s">
        <v>479</v>
      </c>
      <c r="D221" s="14" t="s">
        <v>15</v>
      </c>
      <c r="E221" s="14" t="s">
        <v>16</v>
      </c>
      <c r="F221" s="15">
        <v>42541</v>
      </c>
      <c r="G221" s="16">
        <v>0.13</v>
      </c>
      <c r="H221" s="15">
        <v>42695</v>
      </c>
      <c r="I221" s="16">
        <v>7.2099999999999997E-2</v>
      </c>
      <c r="J221" s="15"/>
      <c r="K221" s="16"/>
      <c r="L221" s="15"/>
      <c r="M221" s="104"/>
      <c r="N221" s="15"/>
      <c r="O221" s="104"/>
      <c r="P221" s="18">
        <f t="shared" si="5"/>
        <v>0.2021</v>
      </c>
    </row>
    <row r="222" spans="2:16" x14ac:dyDescent="0.25">
      <c r="B222" s="12" t="s">
        <v>482</v>
      </c>
      <c r="C222" s="13" t="s">
        <v>483</v>
      </c>
      <c r="D222" s="14" t="s">
        <v>15</v>
      </c>
      <c r="E222" s="14" t="s">
        <v>21</v>
      </c>
      <c r="F222" s="15">
        <v>42503</v>
      </c>
      <c r="G222" s="16">
        <v>7.5</v>
      </c>
      <c r="H222" s="15"/>
      <c r="I222" s="16"/>
      <c r="J222" s="15"/>
      <c r="K222" s="16"/>
      <c r="L222" s="15"/>
      <c r="M222" s="128"/>
      <c r="N222" s="15"/>
      <c r="O222" s="104"/>
      <c r="P222" s="18">
        <f t="shared" si="5"/>
        <v>7.5</v>
      </c>
    </row>
    <row r="223" spans="2:16" x14ac:dyDescent="0.25">
      <c r="B223" s="12" t="s">
        <v>484</v>
      </c>
      <c r="C223" s="13" t="s">
        <v>485</v>
      </c>
      <c r="D223" s="14" t="s">
        <v>15</v>
      </c>
      <c r="E223" s="14" t="s">
        <v>16</v>
      </c>
      <c r="F223" s="15">
        <v>42401</v>
      </c>
      <c r="G223" s="16">
        <v>0.15</v>
      </c>
      <c r="H223" s="15"/>
      <c r="I223" s="16"/>
      <c r="J223" s="15"/>
      <c r="K223" s="16"/>
      <c r="L223" s="15"/>
      <c r="M223" s="128"/>
      <c r="N223" s="15"/>
      <c r="O223" s="104"/>
      <c r="P223" s="18">
        <f t="shared" si="5"/>
        <v>0.15</v>
      </c>
    </row>
    <row r="224" spans="2:16" x14ac:dyDescent="0.25">
      <c r="B224" s="12" t="s">
        <v>486</v>
      </c>
      <c r="C224" s="13" t="s">
        <v>487</v>
      </c>
      <c r="D224" s="14" t="s">
        <v>15</v>
      </c>
      <c r="E224" s="14" t="s">
        <v>16</v>
      </c>
      <c r="F224" s="15">
        <v>42513</v>
      </c>
      <c r="G224" s="16">
        <v>2</v>
      </c>
      <c r="H224" s="15"/>
      <c r="I224" s="16"/>
      <c r="J224" s="15"/>
      <c r="K224" s="16"/>
      <c r="L224" s="15"/>
      <c r="M224" s="128"/>
      <c r="N224" s="15"/>
      <c r="O224" s="104"/>
      <c r="P224" s="18">
        <f t="shared" si="5"/>
        <v>2</v>
      </c>
    </row>
    <row r="225" spans="2:16" x14ac:dyDescent="0.25">
      <c r="B225" s="12" t="s">
        <v>488</v>
      </c>
      <c r="C225" s="13" t="s">
        <v>489</v>
      </c>
      <c r="D225" s="14" t="s">
        <v>24</v>
      </c>
      <c r="E225" s="14" t="s">
        <v>16</v>
      </c>
      <c r="F225" s="15">
        <v>42359</v>
      </c>
      <c r="G225" s="16">
        <v>0.61</v>
      </c>
      <c r="H225" s="15">
        <v>42450</v>
      </c>
      <c r="I225" s="16">
        <v>0.61</v>
      </c>
      <c r="J225" s="15">
        <v>42527</v>
      </c>
      <c r="K225" s="16">
        <v>0.61</v>
      </c>
      <c r="L225" s="15">
        <v>42640</v>
      </c>
      <c r="M225" s="129">
        <v>0.61</v>
      </c>
      <c r="N225" s="15"/>
      <c r="O225" s="104"/>
      <c r="P225" s="18">
        <f t="shared" si="5"/>
        <v>2.44</v>
      </c>
    </row>
    <row r="226" spans="2:16" x14ac:dyDescent="0.25">
      <c r="B226" s="12" t="s">
        <v>490</v>
      </c>
      <c r="C226" s="13" t="s">
        <v>491</v>
      </c>
      <c r="D226" s="14" t="s">
        <v>15</v>
      </c>
      <c r="E226" s="14" t="s">
        <v>16</v>
      </c>
      <c r="F226" s="15">
        <v>42513</v>
      </c>
      <c r="G226" s="16">
        <v>0.11</v>
      </c>
      <c r="H226" s="15"/>
      <c r="I226" s="16"/>
      <c r="J226" s="15"/>
      <c r="K226" s="16"/>
      <c r="L226" s="15"/>
      <c r="M226" s="129"/>
      <c r="N226" s="15"/>
      <c r="O226" s="104"/>
      <c r="P226" s="18">
        <f t="shared" si="5"/>
        <v>0.11</v>
      </c>
    </row>
    <row r="227" spans="2:16" x14ac:dyDescent="0.25">
      <c r="B227" s="12" t="s">
        <v>492</v>
      </c>
      <c r="C227" s="13" t="s">
        <v>493</v>
      </c>
      <c r="D227" s="14" t="s">
        <v>15</v>
      </c>
      <c r="E227" s="14" t="s">
        <v>21</v>
      </c>
      <c r="F227" s="29">
        <v>42502</v>
      </c>
      <c r="G227" s="71">
        <v>0.58989999999999998</v>
      </c>
      <c r="H227" s="15"/>
      <c r="I227" s="16"/>
      <c r="J227" s="15"/>
      <c r="K227" s="16"/>
      <c r="L227" s="15"/>
      <c r="M227" s="129"/>
      <c r="N227" s="15"/>
      <c r="O227" s="104"/>
      <c r="P227" s="18">
        <f t="shared" si="5"/>
        <v>0.58989999999999998</v>
      </c>
    </row>
    <row r="228" spans="2:16" x14ac:dyDescent="0.25">
      <c r="B228" s="12" t="s">
        <v>494</v>
      </c>
      <c r="C228" s="13" t="s">
        <v>495</v>
      </c>
      <c r="D228" s="14" t="s">
        <v>27</v>
      </c>
      <c r="E228" s="14" t="s">
        <v>16</v>
      </c>
      <c r="F228" s="15">
        <v>42489</v>
      </c>
      <c r="G228" s="16">
        <v>1.1000000000000001</v>
      </c>
      <c r="H228" s="15"/>
      <c r="I228" s="16"/>
      <c r="J228" s="15"/>
      <c r="K228" s="16"/>
      <c r="L228" s="15"/>
      <c r="M228" s="129"/>
      <c r="N228" s="15"/>
      <c r="O228" s="104"/>
      <c r="P228" s="18">
        <f t="shared" si="5"/>
        <v>1.1000000000000001</v>
      </c>
    </row>
    <row r="229" spans="2:16" x14ac:dyDescent="0.25">
      <c r="B229" s="12" t="s">
        <v>496</v>
      </c>
      <c r="C229" s="13" t="s">
        <v>497</v>
      </c>
      <c r="D229" s="14" t="s">
        <v>27</v>
      </c>
      <c r="E229" s="14" t="s">
        <v>16</v>
      </c>
      <c r="F229" s="15">
        <v>42488</v>
      </c>
      <c r="G229" s="16">
        <v>0.7</v>
      </c>
      <c r="H229" s="15">
        <v>42605</v>
      </c>
      <c r="I229" s="16">
        <v>0.6</v>
      </c>
      <c r="J229" s="15"/>
      <c r="K229" s="16"/>
      <c r="L229" s="15"/>
      <c r="M229" s="129"/>
      <c r="N229" s="15"/>
      <c r="O229" s="104"/>
      <c r="P229" s="18">
        <f t="shared" si="5"/>
        <v>1.2999999999999998</v>
      </c>
    </row>
    <row r="230" spans="2:16" x14ac:dyDescent="0.25">
      <c r="B230" s="12" t="s">
        <v>498</v>
      </c>
      <c r="C230" s="13" t="s">
        <v>499</v>
      </c>
      <c r="D230" s="14" t="s">
        <v>15</v>
      </c>
      <c r="E230" s="14" t="s">
        <v>16</v>
      </c>
      <c r="F230" s="15">
        <v>42452</v>
      </c>
      <c r="G230" s="16">
        <v>4.8499999999999996</v>
      </c>
      <c r="H230" s="15">
        <v>42555</v>
      </c>
      <c r="I230" s="16">
        <v>4.8499999999999996</v>
      </c>
      <c r="J230" s="15"/>
      <c r="K230" s="16"/>
      <c r="L230" s="15"/>
      <c r="M230" s="129"/>
      <c r="N230" s="15"/>
      <c r="O230" s="104"/>
      <c r="P230" s="18">
        <f t="shared" si="5"/>
        <v>9.6999999999999993</v>
      </c>
    </row>
    <row r="231" spans="2:16" x14ac:dyDescent="0.25">
      <c r="B231" s="12" t="s">
        <v>500</v>
      </c>
      <c r="C231" s="13" t="s">
        <v>501</v>
      </c>
      <c r="D231" s="14" t="s">
        <v>15</v>
      </c>
      <c r="E231" s="14" t="s">
        <v>16</v>
      </c>
      <c r="F231" s="15">
        <v>42478</v>
      </c>
      <c r="G231" s="16">
        <v>0.12</v>
      </c>
      <c r="H231" s="15"/>
      <c r="I231" s="16"/>
      <c r="J231" s="15"/>
      <c r="K231" s="16"/>
      <c r="L231" s="15"/>
      <c r="M231" s="129"/>
      <c r="N231" s="15"/>
      <c r="O231" s="104"/>
      <c r="P231" s="18">
        <f t="shared" si="5"/>
        <v>0.12</v>
      </c>
    </row>
    <row r="232" spans="2:16" x14ac:dyDescent="0.25">
      <c r="B232" s="12" t="s">
        <v>504</v>
      </c>
      <c r="C232" s="13" t="s">
        <v>505</v>
      </c>
      <c r="D232" s="14" t="s">
        <v>15</v>
      </c>
      <c r="E232" s="14" t="s">
        <v>16</v>
      </c>
      <c r="F232" s="15">
        <v>42404</v>
      </c>
      <c r="G232" s="16">
        <v>0.30199999999999999</v>
      </c>
      <c r="H232" s="15">
        <v>42488</v>
      </c>
      <c r="I232" s="16">
        <v>0.3201</v>
      </c>
      <c r="J232" s="15">
        <v>42586</v>
      </c>
      <c r="K232" s="16">
        <v>0.3201</v>
      </c>
      <c r="L232" s="15">
        <v>42670</v>
      </c>
      <c r="M232" s="129">
        <v>0.3201</v>
      </c>
      <c r="N232" s="15"/>
      <c r="O232" s="104"/>
      <c r="P232" s="18">
        <f t="shared" si="5"/>
        <v>1.2623</v>
      </c>
    </row>
    <row r="233" spans="2:16" x14ac:dyDescent="0.25">
      <c r="B233" s="12" t="s">
        <v>506</v>
      </c>
      <c r="C233" s="13" t="s">
        <v>507</v>
      </c>
      <c r="D233" s="14" t="s">
        <v>15</v>
      </c>
      <c r="E233" s="14" t="s">
        <v>77</v>
      </c>
      <c r="F233" s="15">
        <v>42404</v>
      </c>
      <c r="G233" s="16">
        <v>23</v>
      </c>
      <c r="H233" s="15">
        <v>42488</v>
      </c>
      <c r="I233" s="16">
        <v>25.56</v>
      </c>
      <c r="J233" s="15">
        <v>42586</v>
      </c>
      <c r="K233" s="16">
        <v>26.89</v>
      </c>
      <c r="L233" s="15">
        <v>42670</v>
      </c>
      <c r="M233" s="129">
        <v>28.9</v>
      </c>
      <c r="N233" s="15"/>
      <c r="O233" s="104"/>
      <c r="P233" s="18">
        <f t="shared" si="5"/>
        <v>104.35</v>
      </c>
    </row>
    <row r="234" spans="2:16" x14ac:dyDescent="0.25">
      <c r="B234" s="12" t="s">
        <v>508</v>
      </c>
      <c r="C234" s="13" t="s">
        <v>509</v>
      </c>
      <c r="D234" s="14" t="s">
        <v>15</v>
      </c>
      <c r="E234" s="14" t="s">
        <v>16</v>
      </c>
      <c r="F234" s="15">
        <v>42513</v>
      </c>
      <c r="G234" s="16">
        <v>0.15</v>
      </c>
      <c r="H234" s="15"/>
      <c r="I234" s="16"/>
      <c r="J234" s="15"/>
      <c r="K234" s="16"/>
      <c r="L234" s="15"/>
      <c r="M234" s="128"/>
      <c r="N234" s="15"/>
      <c r="O234" s="104"/>
      <c r="P234" s="18">
        <f t="shared" si="5"/>
        <v>0.15</v>
      </c>
    </row>
    <row r="235" spans="2:16" x14ac:dyDescent="0.25">
      <c r="B235" s="12" t="s">
        <v>510</v>
      </c>
      <c r="C235" s="13" t="s">
        <v>511</v>
      </c>
      <c r="D235" s="14" t="s">
        <v>15</v>
      </c>
      <c r="E235" s="14" t="s">
        <v>77</v>
      </c>
      <c r="F235" s="110" t="s">
        <v>677</v>
      </c>
      <c r="G235" s="111" t="s">
        <v>661</v>
      </c>
      <c r="H235" s="112"/>
      <c r="I235" s="113"/>
      <c r="J235" s="112"/>
      <c r="K235" s="113"/>
      <c r="L235" s="112"/>
      <c r="M235" s="114"/>
      <c r="N235" s="130"/>
      <c r="O235" s="131"/>
      <c r="P235" s="116"/>
    </row>
    <row r="236" spans="2:16" x14ac:dyDescent="0.25">
      <c r="B236" s="12" t="s">
        <v>512</v>
      </c>
      <c r="C236" s="13" t="s">
        <v>513</v>
      </c>
      <c r="D236" s="14" t="s">
        <v>24</v>
      </c>
      <c r="E236" s="14" t="s">
        <v>16</v>
      </c>
      <c r="F236" s="29">
        <v>42520</v>
      </c>
      <c r="G236" s="71">
        <v>1</v>
      </c>
      <c r="H236" s="15"/>
      <c r="I236" s="16"/>
      <c r="J236" s="15"/>
      <c r="K236" s="16"/>
      <c r="L236" s="15"/>
      <c r="M236" s="104"/>
      <c r="N236" s="17"/>
      <c r="O236" s="16"/>
      <c r="P236" s="18">
        <f t="shared" ref="P236:P250" si="6">G236+I236+K236+O236+M236</f>
        <v>1</v>
      </c>
    </row>
    <row r="237" spans="2:16" x14ac:dyDescent="0.25">
      <c r="B237" s="12" t="s">
        <v>514</v>
      </c>
      <c r="C237" s="13" t="s">
        <v>515</v>
      </c>
      <c r="D237" s="14" t="s">
        <v>24</v>
      </c>
      <c r="E237" s="14" t="s">
        <v>16</v>
      </c>
      <c r="F237" s="15"/>
      <c r="G237" s="16"/>
      <c r="H237" s="15"/>
      <c r="I237" s="16"/>
      <c r="J237" s="15"/>
      <c r="K237" s="16"/>
      <c r="L237" s="15"/>
      <c r="M237" s="104"/>
      <c r="N237" s="17"/>
      <c r="O237" s="16"/>
      <c r="P237" s="18">
        <f t="shared" si="6"/>
        <v>0</v>
      </c>
    </row>
    <row r="238" spans="2:16" x14ac:dyDescent="0.25">
      <c r="B238" s="12" t="s">
        <v>516</v>
      </c>
      <c r="C238" s="13" t="s">
        <v>517</v>
      </c>
      <c r="D238" s="14" t="s">
        <v>24</v>
      </c>
      <c r="E238" s="14" t="s">
        <v>16</v>
      </c>
      <c r="F238" s="15">
        <v>42492</v>
      </c>
      <c r="G238" s="16">
        <v>0.73</v>
      </c>
      <c r="H238" s="15"/>
      <c r="I238" s="16"/>
      <c r="J238" s="15"/>
      <c r="K238" s="16"/>
      <c r="L238" s="15"/>
      <c r="M238" s="104"/>
      <c r="N238" s="17"/>
      <c r="O238" s="16"/>
      <c r="P238" s="18">
        <f t="shared" si="6"/>
        <v>0.73</v>
      </c>
    </row>
    <row r="239" spans="2:16" x14ac:dyDescent="0.25">
      <c r="B239" s="12" t="s">
        <v>520</v>
      </c>
      <c r="C239" s="13" t="s">
        <v>521</v>
      </c>
      <c r="D239" s="14" t="s">
        <v>24</v>
      </c>
      <c r="E239" s="14" t="s">
        <v>16</v>
      </c>
      <c r="F239" s="15">
        <v>42486</v>
      </c>
      <c r="G239" s="16">
        <v>1.27</v>
      </c>
      <c r="H239" s="15">
        <v>42682</v>
      </c>
      <c r="I239" s="16">
        <v>0.63</v>
      </c>
      <c r="J239" s="15"/>
      <c r="K239" s="16"/>
      <c r="L239" s="15"/>
      <c r="M239" s="104"/>
      <c r="N239" s="17"/>
      <c r="O239" s="16"/>
      <c r="P239" s="18">
        <f t="shared" si="6"/>
        <v>1.9</v>
      </c>
    </row>
    <row r="240" spans="2:16" x14ac:dyDescent="0.25">
      <c r="B240" s="12" t="s">
        <v>524</v>
      </c>
      <c r="C240" s="13" t="s">
        <v>525</v>
      </c>
      <c r="D240" s="14" t="s">
        <v>24</v>
      </c>
      <c r="E240" s="14" t="s">
        <v>16</v>
      </c>
      <c r="F240" s="15">
        <v>42401</v>
      </c>
      <c r="G240" s="16">
        <v>1</v>
      </c>
      <c r="H240" s="15">
        <v>42486</v>
      </c>
      <c r="I240" s="16">
        <v>1</v>
      </c>
      <c r="J240" s="15"/>
      <c r="K240" s="16"/>
      <c r="L240" s="15"/>
      <c r="M240" s="104"/>
      <c r="N240" s="17"/>
      <c r="O240" s="16"/>
      <c r="P240" s="18">
        <f t="shared" si="6"/>
        <v>2</v>
      </c>
    </row>
    <row r="241" spans="2:16" x14ac:dyDescent="0.25">
      <c r="B241" s="12" t="s">
        <v>526</v>
      </c>
      <c r="C241" s="13" t="s">
        <v>527</v>
      </c>
      <c r="D241" s="14" t="s">
        <v>15</v>
      </c>
      <c r="E241" s="14" t="s">
        <v>77</v>
      </c>
      <c r="F241" s="15">
        <v>42530</v>
      </c>
      <c r="G241" s="16">
        <v>7.77</v>
      </c>
      <c r="H241" s="15">
        <v>42698</v>
      </c>
      <c r="I241" s="16">
        <v>4.0476000000000001</v>
      </c>
      <c r="J241" s="15"/>
      <c r="K241" s="16"/>
      <c r="L241" s="15"/>
      <c r="M241" s="104"/>
      <c r="N241" s="17"/>
      <c r="O241" s="16"/>
      <c r="P241" s="18">
        <f>G241+I241+K241+O241+M241</f>
        <v>11.817599999999999</v>
      </c>
    </row>
    <row r="242" spans="2:16" x14ac:dyDescent="0.25">
      <c r="B242" s="12" t="s">
        <v>528</v>
      </c>
      <c r="C242" s="13" t="s">
        <v>529</v>
      </c>
      <c r="D242" s="14" t="s">
        <v>15</v>
      </c>
      <c r="E242" s="14" t="s">
        <v>16</v>
      </c>
      <c r="F242" s="15">
        <v>42544</v>
      </c>
      <c r="G242" s="16">
        <v>0.17</v>
      </c>
      <c r="H242" s="15"/>
      <c r="I242" s="16"/>
      <c r="J242" s="15"/>
      <c r="K242" s="16"/>
      <c r="L242" s="15"/>
      <c r="M242" s="104"/>
      <c r="N242" s="17"/>
      <c r="O242" s="16"/>
      <c r="P242" s="18">
        <f t="shared" si="6"/>
        <v>0.17</v>
      </c>
    </row>
    <row r="243" spans="2:16" x14ac:dyDescent="0.25">
      <c r="B243" s="12" t="s">
        <v>530</v>
      </c>
      <c r="C243" s="13" t="s">
        <v>531</v>
      </c>
      <c r="D243" s="14" t="s">
        <v>15</v>
      </c>
      <c r="E243" s="14" t="s">
        <v>200</v>
      </c>
      <c r="F243" s="15">
        <v>42467</v>
      </c>
      <c r="G243" s="16">
        <v>3</v>
      </c>
      <c r="H243" s="15"/>
      <c r="I243" s="16"/>
      <c r="J243" s="15"/>
      <c r="K243" s="16"/>
      <c r="L243" s="15"/>
      <c r="M243" s="104"/>
      <c r="N243" s="17"/>
      <c r="O243" s="16"/>
      <c r="P243" s="18">
        <f t="shared" si="6"/>
        <v>3</v>
      </c>
    </row>
    <row r="244" spans="2:16" x14ac:dyDescent="0.25">
      <c r="B244" s="12" t="s">
        <v>532</v>
      </c>
      <c r="C244" s="13" t="s">
        <v>533</v>
      </c>
      <c r="D244" s="14" t="s">
        <v>15</v>
      </c>
      <c r="E244" s="14" t="s">
        <v>16</v>
      </c>
      <c r="F244" s="15">
        <v>42503</v>
      </c>
      <c r="G244" s="16">
        <v>0.94</v>
      </c>
      <c r="H244" s="15"/>
      <c r="I244" s="16"/>
      <c r="J244" s="15"/>
      <c r="K244" s="16"/>
      <c r="L244" s="15"/>
      <c r="M244" s="104"/>
      <c r="N244" s="17"/>
      <c r="O244" s="16"/>
      <c r="P244" s="18">
        <f t="shared" si="6"/>
        <v>0.94</v>
      </c>
    </row>
    <row r="245" spans="2:16" x14ac:dyDescent="0.25">
      <c r="B245" s="12" t="s">
        <v>534</v>
      </c>
      <c r="C245" s="13" t="s">
        <v>535</v>
      </c>
      <c r="D245" s="14" t="s">
        <v>15</v>
      </c>
      <c r="E245" s="14" t="s">
        <v>16</v>
      </c>
      <c r="F245" s="15">
        <v>42482</v>
      </c>
      <c r="G245" s="16">
        <v>1</v>
      </c>
      <c r="H245" s="15"/>
      <c r="I245" s="16"/>
      <c r="J245" s="15"/>
      <c r="K245" s="16"/>
      <c r="L245" s="15"/>
      <c r="M245" s="104"/>
      <c r="N245" s="17"/>
      <c r="O245" s="16"/>
      <c r="P245" s="18">
        <f t="shared" si="6"/>
        <v>1</v>
      </c>
    </row>
    <row r="246" spans="2:16" x14ac:dyDescent="0.25">
      <c r="B246" s="12" t="s">
        <v>540</v>
      </c>
      <c r="C246" s="13" t="s">
        <v>541</v>
      </c>
      <c r="D246" s="14" t="s">
        <v>15</v>
      </c>
      <c r="E246" s="14" t="s">
        <v>77</v>
      </c>
      <c r="F246" s="15">
        <v>42502</v>
      </c>
      <c r="G246" s="16">
        <v>3.5</v>
      </c>
      <c r="H246" s="15">
        <v>42642</v>
      </c>
      <c r="I246" s="16">
        <v>1.58</v>
      </c>
      <c r="J246" s="15"/>
      <c r="K246" s="16"/>
      <c r="L246" s="15"/>
      <c r="M246" s="104"/>
      <c r="N246" s="17"/>
      <c r="O246" s="16"/>
      <c r="P246" s="18">
        <f t="shared" si="6"/>
        <v>5.08</v>
      </c>
    </row>
    <row r="247" spans="2:16" x14ac:dyDescent="0.25">
      <c r="B247" s="12" t="s">
        <v>542</v>
      </c>
      <c r="C247" s="13" t="s">
        <v>543</v>
      </c>
      <c r="D247" s="14" t="s">
        <v>15</v>
      </c>
      <c r="E247" s="14" t="s">
        <v>16</v>
      </c>
      <c r="F247" s="15">
        <v>42485</v>
      </c>
      <c r="G247" s="16">
        <v>0.56999999999999995</v>
      </c>
      <c r="H247" s="15">
        <v>42611</v>
      </c>
      <c r="I247" s="16">
        <v>0.19</v>
      </c>
      <c r="J247" s="15"/>
      <c r="K247" s="16"/>
      <c r="L247" s="15"/>
      <c r="M247" s="104"/>
      <c r="N247" s="17"/>
      <c r="O247" s="16"/>
      <c r="P247" s="18">
        <f t="shared" si="6"/>
        <v>0.76</v>
      </c>
    </row>
    <row r="248" spans="2:16" x14ac:dyDescent="0.25">
      <c r="B248" s="12" t="s">
        <v>544</v>
      </c>
      <c r="C248" s="13" t="s">
        <v>545</v>
      </c>
      <c r="D248" s="14" t="s">
        <v>15</v>
      </c>
      <c r="E248" s="14" t="s">
        <v>77</v>
      </c>
      <c r="F248" s="15">
        <v>42530</v>
      </c>
      <c r="G248" s="16">
        <v>28.78</v>
      </c>
      <c r="H248" s="15">
        <v>42649</v>
      </c>
      <c r="I248" s="16">
        <v>19.55</v>
      </c>
      <c r="J248" s="15"/>
      <c r="K248" s="16"/>
      <c r="L248" s="15"/>
      <c r="M248" s="104"/>
      <c r="N248" s="17"/>
      <c r="O248" s="16"/>
      <c r="P248" s="18">
        <f t="shared" si="6"/>
        <v>48.33</v>
      </c>
    </row>
    <row r="249" spans="2:16" x14ac:dyDescent="0.25">
      <c r="B249" s="12" t="s">
        <v>546</v>
      </c>
      <c r="C249" s="13" t="s">
        <v>547</v>
      </c>
      <c r="D249" s="14" t="s">
        <v>24</v>
      </c>
      <c r="E249" s="14" t="s">
        <v>16</v>
      </c>
      <c r="F249" s="15">
        <v>42389</v>
      </c>
      <c r="G249" s="16">
        <v>0.32</v>
      </c>
      <c r="H249" s="15"/>
      <c r="I249" s="16"/>
      <c r="J249" s="15"/>
      <c r="K249" s="16"/>
      <c r="L249" s="15"/>
      <c r="M249" s="104"/>
      <c r="N249" s="17"/>
      <c r="O249" s="16"/>
      <c r="P249" s="18">
        <f t="shared" si="6"/>
        <v>0.32</v>
      </c>
    </row>
    <row r="250" spans="2:16" x14ac:dyDescent="0.25">
      <c r="B250" s="12" t="s">
        <v>548</v>
      </c>
      <c r="C250" s="13" t="s">
        <v>549</v>
      </c>
      <c r="D250" s="14" t="s">
        <v>15</v>
      </c>
      <c r="E250" s="14" t="s">
        <v>21</v>
      </c>
      <c r="F250" s="15">
        <v>42461</v>
      </c>
      <c r="G250" s="16">
        <v>17</v>
      </c>
      <c r="H250" s="15"/>
      <c r="I250" s="16"/>
      <c r="J250" s="15"/>
      <c r="K250" s="16"/>
      <c r="L250" s="15"/>
      <c r="M250" s="104"/>
      <c r="N250" s="17"/>
      <c r="O250" s="16"/>
      <c r="P250" s="18">
        <f t="shared" si="6"/>
        <v>17</v>
      </c>
    </row>
    <row r="251" spans="2:16" x14ac:dyDescent="0.25"/>
    <row r="252" spans="2:16" x14ac:dyDescent="0.25"/>
    <row r="253" spans="2:16" x14ac:dyDescent="0.25"/>
    <row r="254" spans="2:16" x14ac:dyDescent="0.25"/>
    <row r="255" spans="2:16" x14ac:dyDescent="0.25"/>
    <row r="256" spans="2:16" x14ac:dyDescent="0.25"/>
    <row r="257" customFormat="1" x14ac:dyDescent="0.25"/>
    <row r="258" customFormat="1" x14ac:dyDescent="0.25"/>
    <row r="259" customFormat="1" x14ac:dyDescent="0.25"/>
    <row r="260" customFormat="1" x14ac:dyDescent="0.25"/>
    <row r="261" customFormat="1" x14ac:dyDescent="0.25"/>
    <row r="262" customFormat="1" x14ac:dyDescent="0.25"/>
    <row r="263" customFormat="1" x14ac:dyDescent="0.25"/>
  </sheetData>
  <sheetProtection algorithmName="SHA-512" hashValue="x2s4T7Fkli9TcVm3eapiFVgWxF1x02QmlttFf88z2Z1W9W3WMM52FpjZ8J8skPXd/J2dk/20VXFFBCGDQNuX4g==" saltValue="1ke7tR/Gqm58+vYkUdNKhg==" spinCount="100000" sheet="1"/>
  <mergeCells count="2">
    <mergeCell ref="L9:M9"/>
    <mergeCell ref="E11:N11"/>
  </mergeCell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7"/>
  <dimension ref="A1:O232"/>
  <sheetViews>
    <sheetView showGridLines="0" topLeftCell="A119" zoomScale="85" zoomScaleNormal="85" workbookViewId="0">
      <selection activeCell="N147" sqref="N147"/>
    </sheetView>
  </sheetViews>
  <sheetFormatPr defaultColWidth="0" defaultRowHeight="15" customHeight="1" zeroHeight="1" x14ac:dyDescent="0.25"/>
  <cols>
    <col min="1" max="1" width="3" customWidth="1"/>
    <col min="2" max="2" width="30.28515625" customWidth="1"/>
    <col min="3" max="3" width="14.28515625" customWidth="1"/>
    <col min="4" max="4" width="9" bestFit="1" customWidth="1"/>
    <col min="5" max="5" width="5.42578125" customWidth="1"/>
    <col min="6" max="6" width="9.5703125" bestFit="1" customWidth="1"/>
    <col min="7" max="7" width="10.5703125" bestFit="1" customWidth="1"/>
    <col min="8" max="8" width="9.5703125" bestFit="1" customWidth="1"/>
    <col min="9" max="13" width="9.28515625" customWidth="1"/>
    <col min="14" max="14" width="10.7109375" customWidth="1"/>
    <col min="15" max="15" width="3.5703125" customWidth="1"/>
    <col min="16" max="16384" width="9.28515625" hidden="1"/>
  </cols>
  <sheetData>
    <row r="1" spans="2:14" x14ac:dyDescent="0.25"/>
    <row r="2" spans="2:14" x14ac:dyDescent="0.25"/>
    <row r="3" spans="2:14" x14ac:dyDescent="0.25"/>
    <row r="4" spans="2:14" x14ac:dyDescent="0.25"/>
    <row r="5" spans="2:14" x14ac:dyDescent="0.25"/>
    <row r="6" spans="2:14" x14ac:dyDescent="0.25"/>
    <row r="7" spans="2:14" x14ac:dyDescent="0.25"/>
    <row r="8" spans="2:14" ht="31.5" customHeight="1" x14ac:dyDescent="0.25"/>
    <row r="9" spans="2:14" ht="15" customHeight="1" x14ac:dyDescent="0.25">
      <c r="J9" s="182" t="s">
        <v>0</v>
      </c>
      <c r="K9" s="182"/>
      <c r="M9" s="83" t="s">
        <v>1</v>
      </c>
      <c r="N9" s="84">
        <v>42356</v>
      </c>
    </row>
    <row r="10" spans="2:14" ht="3.75" customHeight="1" x14ac:dyDescent="0.25">
      <c r="G10" s="85"/>
      <c r="M10" s="83"/>
      <c r="N10" s="84"/>
    </row>
    <row r="11" spans="2:14" ht="34.5" customHeight="1" x14ac:dyDescent="0.25">
      <c r="B11" s="4" t="s">
        <v>2</v>
      </c>
      <c r="C11" s="5"/>
      <c r="D11" s="5"/>
      <c r="E11" s="183" t="s">
        <v>641</v>
      </c>
      <c r="F11" s="183"/>
      <c r="G11" s="183"/>
      <c r="H11" s="183"/>
      <c r="I11" s="183"/>
      <c r="J11" s="183"/>
      <c r="K11" s="183"/>
      <c r="L11" s="183"/>
      <c r="M11" s="86"/>
      <c r="N11" s="87"/>
    </row>
    <row r="12" spans="2:14" x14ac:dyDescent="0.25">
      <c r="B12" s="7" t="s">
        <v>4</v>
      </c>
      <c r="C12" s="7" t="s">
        <v>5</v>
      </c>
      <c r="D12" s="7" t="s">
        <v>6</v>
      </c>
      <c r="E12" s="7" t="s">
        <v>7</v>
      </c>
      <c r="F12" s="7" t="s">
        <v>8</v>
      </c>
      <c r="G12" s="7"/>
      <c r="H12" s="7" t="s">
        <v>9</v>
      </c>
      <c r="I12" s="7"/>
      <c r="J12" s="7" t="s">
        <v>10</v>
      </c>
      <c r="K12" s="7"/>
      <c r="L12" s="7" t="s">
        <v>11</v>
      </c>
      <c r="M12" s="7"/>
      <c r="N12" s="7" t="s">
        <v>12</v>
      </c>
    </row>
    <row r="13" spans="2:14" ht="5.25" customHeight="1" x14ac:dyDescent="0.25">
      <c r="B13" s="9"/>
      <c r="C13" s="9"/>
      <c r="D13" s="9"/>
      <c r="E13" s="10"/>
      <c r="F13" s="10"/>
      <c r="G13" s="10"/>
      <c r="H13" s="10"/>
      <c r="I13" s="10"/>
      <c r="J13" s="10"/>
      <c r="K13" s="10"/>
      <c r="L13" s="10"/>
      <c r="M13" s="10"/>
      <c r="N13" s="10"/>
    </row>
    <row r="14" spans="2:14" x14ac:dyDescent="0.25">
      <c r="B14" s="12" t="s">
        <v>13</v>
      </c>
      <c r="C14" s="13" t="s">
        <v>14</v>
      </c>
      <c r="D14" s="14" t="s">
        <v>15</v>
      </c>
      <c r="E14" s="14" t="s">
        <v>16</v>
      </c>
      <c r="F14" s="15">
        <v>42177</v>
      </c>
      <c r="G14" s="88">
        <v>3.6299999999999999E-2</v>
      </c>
      <c r="H14" s="15"/>
      <c r="I14" s="88"/>
      <c r="J14" s="15"/>
      <c r="K14" s="88"/>
      <c r="L14" s="15"/>
      <c r="M14" s="88"/>
      <c r="N14" s="89">
        <f t="shared" ref="N14:N77" si="0">G14+I14+K14+M14</f>
        <v>3.6299999999999999E-2</v>
      </c>
    </row>
    <row r="15" spans="2:14" x14ac:dyDescent="0.25">
      <c r="B15" s="12" t="s">
        <v>17</v>
      </c>
      <c r="C15" s="13" t="s">
        <v>18</v>
      </c>
      <c r="D15" s="14" t="s">
        <v>15</v>
      </c>
      <c r="E15" s="14" t="s">
        <v>16</v>
      </c>
      <c r="F15" s="15">
        <v>42117</v>
      </c>
      <c r="G15" s="88">
        <v>0.46</v>
      </c>
      <c r="H15" s="15"/>
      <c r="I15" s="88"/>
      <c r="J15" s="15"/>
      <c r="K15" s="88"/>
      <c r="L15" s="15"/>
      <c r="M15" s="88"/>
      <c r="N15" s="89">
        <f t="shared" si="0"/>
        <v>0.46</v>
      </c>
    </row>
    <row r="16" spans="2:14" x14ac:dyDescent="0.25">
      <c r="B16" s="12" t="s">
        <v>19</v>
      </c>
      <c r="C16" s="13" t="s">
        <v>20</v>
      </c>
      <c r="D16" s="14" t="s">
        <v>15</v>
      </c>
      <c r="E16" s="14" t="s">
        <v>21</v>
      </c>
      <c r="F16" s="15">
        <v>42129</v>
      </c>
      <c r="G16" s="88">
        <v>0.55000000000000004</v>
      </c>
      <c r="H16" s="15">
        <v>42212</v>
      </c>
      <c r="I16" s="88">
        <v>0.17</v>
      </c>
      <c r="J16" s="15"/>
      <c r="K16" s="88"/>
      <c r="L16" s="15"/>
      <c r="M16" s="88"/>
      <c r="N16" s="89">
        <f t="shared" si="0"/>
        <v>0.72000000000000008</v>
      </c>
    </row>
    <row r="17" spans="2:14" x14ac:dyDescent="0.25">
      <c r="B17" s="12" t="s">
        <v>22</v>
      </c>
      <c r="C17" s="13" t="s">
        <v>23</v>
      </c>
      <c r="D17" s="14" t="s">
        <v>24</v>
      </c>
      <c r="E17" s="14" t="s">
        <v>16</v>
      </c>
      <c r="F17" s="15">
        <v>42130</v>
      </c>
      <c r="G17" s="88">
        <v>0.95</v>
      </c>
      <c r="H17" s="15"/>
      <c r="I17" s="88"/>
      <c r="J17" s="15"/>
      <c r="K17" s="88"/>
      <c r="L17" s="15"/>
      <c r="M17" s="88"/>
      <c r="N17" s="89">
        <f t="shared" si="0"/>
        <v>0.95</v>
      </c>
    </row>
    <row r="18" spans="2:14" x14ac:dyDescent="0.25">
      <c r="B18" s="12" t="s">
        <v>25</v>
      </c>
      <c r="C18" s="13" t="s">
        <v>26</v>
      </c>
      <c r="D18" s="14" t="s">
        <v>27</v>
      </c>
      <c r="E18" s="14" t="s">
        <v>16</v>
      </c>
      <c r="F18" s="15">
        <v>42156</v>
      </c>
      <c r="G18" s="88">
        <v>1.82</v>
      </c>
      <c r="H18" s="15"/>
      <c r="I18" s="88"/>
      <c r="J18" s="15"/>
      <c r="K18" s="88"/>
      <c r="L18" s="15"/>
      <c r="M18" s="88"/>
      <c r="N18" s="89">
        <f t="shared" si="0"/>
        <v>1.82</v>
      </c>
    </row>
    <row r="19" spans="2:14" x14ac:dyDescent="0.25">
      <c r="B19" s="12" t="s">
        <v>642</v>
      </c>
      <c r="C19" s="13" t="s">
        <v>643</v>
      </c>
      <c r="D19" s="14" t="s">
        <v>15</v>
      </c>
      <c r="E19" s="14" t="s">
        <v>21</v>
      </c>
      <c r="F19" s="15">
        <v>42136</v>
      </c>
      <c r="G19" s="88">
        <v>1.3</v>
      </c>
      <c r="H19" s="15"/>
      <c r="I19" s="88"/>
      <c r="J19" s="15"/>
      <c r="K19" s="88"/>
      <c r="L19" s="15"/>
      <c r="M19" s="88"/>
      <c r="N19" s="89">
        <f t="shared" si="0"/>
        <v>1.3</v>
      </c>
    </row>
    <row r="20" spans="2:14" x14ac:dyDescent="0.25">
      <c r="B20" s="12" t="s">
        <v>644</v>
      </c>
      <c r="C20" s="13" t="s">
        <v>29</v>
      </c>
      <c r="D20" s="14" t="s">
        <v>15</v>
      </c>
      <c r="E20" s="14" t="s">
        <v>21</v>
      </c>
      <c r="F20" s="15">
        <v>42123</v>
      </c>
      <c r="G20" s="88">
        <v>2.1</v>
      </c>
      <c r="H20" s="15"/>
      <c r="I20" s="88"/>
      <c r="J20" s="15"/>
      <c r="K20" s="88"/>
      <c r="L20" s="15"/>
      <c r="M20" s="88"/>
      <c r="N20" s="89">
        <f t="shared" si="0"/>
        <v>2.1</v>
      </c>
    </row>
    <row r="21" spans="2:14" x14ac:dyDescent="0.25">
      <c r="B21" s="12" t="s">
        <v>30</v>
      </c>
      <c r="C21" s="13" t="s">
        <v>31</v>
      </c>
      <c r="D21" s="14" t="s">
        <v>15</v>
      </c>
      <c r="E21" s="14" t="s">
        <v>16</v>
      </c>
      <c r="F21" s="15">
        <v>42132</v>
      </c>
      <c r="G21" s="88">
        <v>1.5</v>
      </c>
      <c r="H21" s="15"/>
      <c r="I21" s="88"/>
      <c r="J21" s="15"/>
      <c r="K21" s="88"/>
      <c r="L21" s="15"/>
      <c r="M21" s="88"/>
      <c r="N21" s="89">
        <f t="shared" si="0"/>
        <v>1.5</v>
      </c>
    </row>
    <row r="22" spans="2:14" x14ac:dyDescent="0.25">
      <c r="B22" s="12" t="s">
        <v>32</v>
      </c>
      <c r="C22" s="13" t="s">
        <v>33</v>
      </c>
      <c r="D22" s="14" t="s">
        <v>15</v>
      </c>
      <c r="E22" s="14" t="s">
        <v>16</v>
      </c>
      <c r="F22" s="15">
        <v>42146</v>
      </c>
      <c r="G22" s="88">
        <v>0.12</v>
      </c>
      <c r="H22" s="15">
        <v>42237</v>
      </c>
      <c r="I22" s="88">
        <v>0.12</v>
      </c>
      <c r="J22" s="15"/>
      <c r="K22" s="88"/>
      <c r="L22" s="15"/>
      <c r="M22" s="88"/>
      <c r="N22" s="89">
        <f t="shared" si="0"/>
        <v>0.24</v>
      </c>
    </row>
    <row r="23" spans="2:14" x14ac:dyDescent="0.25">
      <c r="B23" s="12" t="s">
        <v>34</v>
      </c>
      <c r="C23" s="13" t="s">
        <v>35</v>
      </c>
      <c r="D23" s="14" t="s">
        <v>27</v>
      </c>
      <c r="E23" s="14" t="s">
        <v>16</v>
      </c>
      <c r="F23" s="15">
        <v>42130</v>
      </c>
      <c r="G23" s="88">
        <v>1.55</v>
      </c>
      <c r="H23" s="15"/>
      <c r="I23" s="88"/>
      <c r="J23" s="15"/>
      <c r="K23" s="88"/>
      <c r="L23" s="15"/>
      <c r="M23" s="88"/>
      <c r="N23" s="89">
        <f t="shared" si="0"/>
        <v>1.55</v>
      </c>
    </row>
    <row r="24" spans="2:14" x14ac:dyDescent="0.25">
      <c r="B24" s="12" t="s">
        <v>645</v>
      </c>
      <c r="C24" s="13" t="s">
        <v>37</v>
      </c>
      <c r="D24" s="14" t="s">
        <v>15</v>
      </c>
      <c r="E24" s="14" t="s">
        <v>16</v>
      </c>
      <c r="F24" s="15">
        <v>42111</v>
      </c>
      <c r="G24" s="88">
        <v>0.48</v>
      </c>
      <c r="H24" s="15"/>
      <c r="I24" s="88"/>
      <c r="J24" s="15"/>
      <c r="K24" s="88"/>
      <c r="L24" s="15"/>
      <c r="M24" s="88"/>
      <c r="N24" s="89">
        <f t="shared" si="0"/>
        <v>0.48</v>
      </c>
    </row>
    <row r="25" spans="2:14" x14ac:dyDescent="0.25">
      <c r="B25" s="12" t="s">
        <v>41</v>
      </c>
      <c r="C25" s="13" t="s">
        <v>42</v>
      </c>
      <c r="D25" s="14" t="s">
        <v>24</v>
      </c>
      <c r="E25" s="14" t="s">
        <v>16</v>
      </c>
      <c r="F25" s="15">
        <v>42142</v>
      </c>
      <c r="G25" s="88">
        <v>2.5499999999999998</v>
      </c>
      <c r="H25" s="15"/>
      <c r="I25" s="88"/>
      <c r="J25" s="15"/>
      <c r="K25" s="88"/>
      <c r="L25" s="15"/>
      <c r="M25" s="88"/>
      <c r="N25" s="89">
        <f t="shared" si="0"/>
        <v>2.5499999999999998</v>
      </c>
    </row>
    <row r="26" spans="2:14" x14ac:dyDescent="0.25">
      <c r="B26" s="12" t="s">
        <v>646</v>
      </c>
      <c r="C26" s="13" t="s">
        <v>44</v>
      </c>
      <c r="D26" s="14" t="s">
        <v>24</v>
      </c>
      <c r="E26" s="14" t="s">
        <v>16</v>
      </c>
      <c r="F26" s="15">
        <v>42156</v>
      </c>
      <c r="G26" s="88">
        <v>1.2</v>
      </c>
      <c r="H26" s="15"/>
      <c r="I26" s="88"/>
      <c r="J26" s="15"/>
      <c r="K26" s="88"/>
      <c r="L26" s="15"/>
      <c r="M26" s="88"/>
      <c r="N26" s="89">
        <f t="shared" si="0"/>
        <v>1.2</v>
      </c>
    </row>
    <row r="27" spans="2:14" x14ac:dyDescent="0.25">
      <c r="B27" s="12" t="s">
        <v>45</v>
      </c>
      <c r="C27" s="13" t="s">
        <v>46</v>
      </c>
      <c r="D27" s="14" t="s">
        <v>15</v>
      </c>
      <c r="E27" s="14" t="s">
        <v>16</v>
      </c>
      <c r="F27" s="15">
        <v>42118</v>
      </c>
      <c r="G27" s="88">
        <v>1.1200000000000001</v>
      </c>
      <c r="H27" s="15">
        <v>42303</v>
      </c>
      <c r="I27" s="88">
        <v>0.35</v>
      </c>
      <c r="J27" s="15"/>
      <c r="K27" s="88"/>
      <c r="L27" s="15"/>
      <c r="M27" s="88"/>
      <c r="N27" s="89">
        <f t="shared" si="0"/>
        <v>1.4700000000000002</v>
      </c>
    </row>
    <row r="28" spans="2:14" x14ac:dyDescent="0.25">
      <c r="B28" s="12" t="s">
        <v>47</v>
      </c>
      <c r="C28" s="13" t="s">
        <v>48</v>
      </c>
      <c r="D28" s="14" t="s">
        <v>15</v>
      </c>
      <c r="E28" s="14" t="s">
        <v>16</v>
      </c>
      <c r="F28" s="15">
        <v>42131</v>
      </c>
      <c r="G28" s="88">
        <v>6.85</v>
      </c>
      <c r="H28" s="15"/>
      <c r="I28" s="88"/>
      <c r="J28" s="15"/>
      <c r="K28" s="88"/>
      <c r="L28" s="15"/>
      <c r="M28" s="88"/>
      <c r="N28" s="89">
        <f t="shared" si="0"/>
        <v>6.85</v>
      </c>
    </row>
    <row r="29" spans="2:14" x14ac:dyDescent="0.25">
      <c r="B29" s="12" t="s">
        <v>49</v>
      </c>
      <c r="C29" s="13" t="s">
        <v>50</v>
      </c>
      <c r="D29" s="14" t="s">
        <v>24</v>
      </c>
      <c r="E29" s="14" t="s">
        <v>16</v>
      </c>
      <c r="F29" s="15"/>
      <c r="G29" s="88"/>
      <c r="H29" s="15"/>
      <c r="I29" s="88"/>
      <c r="J29" s="15"/>
      <c r="K29" s="88"/>
      <c r="L29" s="15"/>
      <c r="M29" s="88"/>
      <c r="N29" s="89">
        <f t="shared" si="0"/>
        <v>0</v>
      </c>
    </row>
    <row r="30" spans="2:14" x14ac:dyDescent="0.25">
      <c r="B30" s="12" t="s">
        <v>647</v>
      </c>
      <c r="C30" s="13" t="s">
        <v>52</v>
      </c>
      <c r="D30" s="14" t="s">
        <v>15</v>
      </c>
      <c r="E30" s="14" t="s">
        <v>16</v>
      </c>
      <c r="F30" s="15">
        <v>42034</v>
      </c>
      <c r="G30" s="88">
        <v>0.32</v>
      </c>
      <c r="H30" s="15">
        <v>42215</v>
      </c>
      <c r="I30" s="88">
        <v>0.38</v>
      </c>
      <c r="J30" s="15"/>
      <c r="K30" s="88"/>
      <c r="L30" s="15"/>
      <c r="M30" s="88"/>
      <c r="N30" s="89">
        <f t="shared" si="0"/>
        <v>0.7</v>
      </c>
    </row>
    <row r="31" spans="2:14" x14ac:dyDescent="0.25">
      <c r="B31" s="12" t="s">
        <v>57</v>
      </c>
      <c r="C31" s="13" t="s">
        <v>58</v>
      </c>
      <c r="D31" s="14" t="s">
        <v>15</v>
      </c>
      <c r="E31" s="14" t="s">
        <v>56</v>
      </c>
      <c r="F31" s="15">
        <v>42082</v>
      </c>
      <c r="G31" s="88">
        <v>0.53</v>
      </c>
      <c r="H31" s="15">
        <v>42222</v>
      </c>
      <c r="I31" s="88">
        <v>0.35555999999999999</v>
      </c>
      <c r="J31" s="15"/>
      <c r="K31" s="88"/>
      <c r="L31" s="15"/>
      <c r="M31" s="88"/>
      <c r="N31" s="89">
        <f t="shared" si="0"/>
        <v>0.88556000000000001</v>
      </c>
    </row>
    <row r="32" spans="2:14" x14ac:dyDescent="0.25">
      <c r="B32" s="12" t="s">
        <v>59</v>
      </c>
      <c r="C32" s="13" t="s">
        <v>60</v>
      </c>
      <c r="D32" s="14" t="s">
        <v>27</v>
      </c>
      <c r="E32" s="14" t="s">
        <v>16</v>
      </c>
      <c r="F32" s="15">
        <v>42128</v>
      </c>
      <c r="G32" s="88">
        <v>2</v>
      </c>
      <c r="H32" s="15">
        <v>42320</v>
      </c>
      <c r="I32" s="88">
        <v>1.6</v>
      </c>
      <c r="J32" s="15"/>
      <c r="K32" s="88"/>
      <c r="L32" s="15"/>
      <c r="M32" s="88"/>
      <c r="N32" s="89">
        <f t="shared" si="0"/>
        <v>3.6</v>
      </c>
    </row>
    <row r="33" spans="2:14" x14ac:dyDescent="0.25">
      <c r="B33" s="12" t="s">
        <v>63</v>
      </c>
      <c r="C33" s="13" t="s">
        <v>64</v>
      </c>
      <c r="D33" s="14" t="s">
        <v>15</v>
      </c>
      <c r="E33" s="14" t="s">
        <v>16</v>
      </c>
      <c r="F33" s="15">
        <v>42132</v>
      </c>
      <c r="G33" s="90">
        <v>0.17691299999999999</v>
      </c>
      <c r="H33" s="15"/>
      <c r="I33" s="88"/>
      <c r="J33" s="15"/>
      <c r="K33" s="88"/>
      <c r="L33" s="15"/>
      <c r="M33" s="88"/>
      <c r="N33" s="89">
        <f t="shared" si="0"/>
        <v>0.17691299999999999</v>
      </c>
    </row>
    <row r="34" spans="2:14" x14ac:dyDescent="0.25">
      <c r="B34" s="12" t="s">
        <v>648</v>
      </c>
      <c r="C34" s="13" t="s">
        <v>649</v>
      </c>
      <c r="D34" s="14" t="s">
        <v>15</v>
      </c>
      <c r="E34" s="14" t="s">
        <v>77</v>
      </c>
      <c r="F34" s="15">
        <v>42117</v>
      </c>
      <c r="G34" s="88">
        <v>4.5</v>
      </c>
      <c r="H34" s="15">
        <v>42250</v>
      </c>
      <c r="I34" s="88">
        <v>3.5</v>
      </c>
      <c r="J34" s="15"/>
      <c r="K34" s="88"/>
      <c r="L34" s="15"/>
      <c r="M34" s="88"/>
      <c r="N34" s="89">
        <f t="shared" si="0"/>
        <v>8</v>
      </c>
    </row>
    <row r="35" spans="2:14" x14ac:dyDescent="0.25">
      <c r="B35" s="12" t="s">
        <v>65</v>
      </c>
      <c r="C35" s="13" t="s">
        <v>66</v>
      </c>
      <c r="D35" s="14" t="s">
        <v>15</v>
      </c>
      <c r="E35" s="14" t="s">
        <v>16</v>
      </c>
      <c r="F35" s="15">
        <v>42118</v>
      </c>
      <c r="G35" s="88">
        <v>0.7</v>
      </c>
      <c r="H35" s="15"/>
      <c r="I35" s="88"/>
      <c r="J35" s="15"/>
      <c r="K35" s="88"/>
      <c r="L35" s="15"/>
      <c r="M35" s="88"/>
      <c r="N35" s="89">
        <f t="shared" si="0"/>
        <v>0.7</v>
      </c>
    </row>
    <row r="36" spans="2:14" x14ac:dyDescent="0.25">
      <c r="B36" s="12" t="s">
        <v>67</v>
      </c>
      <c r="C36" s="13" t="s">
        <v>68</v>
      </c>
      <c r="D36" s="14" t="s">
        <v>15</v>
      </c>
      <c r="E36" s="14" t="s">
        <v>16</v>
      </c>
      <c r="F36" s="15">
        <v>42142</v>
      </c>
      <c r="G36" s="88">
        <v>0.6</v>
      </c>
      <c r="H36" s="15"/>
      <c r="I36" s="88"/>
      <c r="J36" s="15"/>
      <c r="K36" s="88"/>
      <c r="L36" s="15"/>
      <c r="M36" s="88"/>
      <c r="N36" s="89">
        <f t="shared" si="0"/>
        <v>0.6</v>
      </c>
    </row>
    <row r="37" spans="2:14" x14ac:dyDescent="0.25">
      <c r="B37" s="12" t="s">
        <v>69</v>
      </c>
      <c r="C37" s="13" t="s">
        <v>70</v>
      </c>
      <c r="D37" s="14" t="s">
        <v>15</v>
      </c>
      <c r="E37" s="14" t="s">
        <v>56</v>
      </c>
      <c r="F37" s="15">
        <v>42054</v>
      </c>
      <c r="G37" s="88">
        <v>1.9</v>
      </c>
      <c r="H37" s="15">
        <v>42229</v>
      </c>
      <c r="I37" s="88">
        <v>0.9</v>
      </c>
      <c r="J37" s="15"/>
      <c r="K37" s="88"/>
      <c r="L37" s="15"/>
      <c r="M37" s="88"/>
      <c r="N37" s="89">
        <f t="shared" si="0"/>
        <v>2.8</v>
      </c>
    </row>
    <row r="38" spans="2:14" x14ac:dyDescent="0.25">
      <c r="B38" s="12" t="s">
        <v>73</v>
      </c>
      <c r="C38" s="13" t="s">
        <v>74</v>
      </c>
      <c r="D38" s="14" t="s">
        <v>15</v>
      </c>
      <c r="E38" s="14" t="s">
        <v>16</v>
      </c>
      <c r="F38" s="15">
        <v>42142</v>
      </c>
      <c r="G38" s="88">
        <v>0.44500000000000001</v>
      </c>
      <c r="H38" s="15">
        <v>42331</v>
      </c>
      <c r="I38" s="88">
        <v>0.4</v>
      </c>
      <c r="J38" s="15"/>
      <c r="K38" s="88"/>
      <c r="L38" s="15"/>
      <c r="M38" s="88"/>
      <c r="N38" s="89">
        <f t="shared" si="0"/>
        <v>0.84499999999999997</v>
      </c>
    </row>
    <row r="39" spans="2:14" x14ac:dyDescent="0.25">
      <c r="B39" s="12" t="s">
        <v>75</v>
      </c>
      <c r="C39" s="13" t="s">
        <v>76</v>
      </c>
      <c r="D39" s="14" t="s">
        <v>15</v>
      </c>
      <c r="E39" s="14" t="s">
        <v>77</v>
      </c>
      <c r="F39" s="15">
        <v>42102</v>
      </c>
      <c r="G39" s="88">
        <v>12.25</v>
      </c>
      <c r="H39" s="15">
        <v>42285</v>
      </c>
      <c r="I39" s="88">
        <v>6.75</v>
      </c>
      <c r="J39" s="15"/>
      <c r="K39" s="88"/>
      <c r="L39" s="15"/>
      <c r="M39" s="88"/>
      <c r="N39" s="89">
        <f t="shared" si="0"/>
        <v>19</v>
      </c>
    </row>
    <row r="40" spans="2:14" x14ac:dyDescent="0.25">
      <c r="B40" s="12" t="s">
        <v>78</v>
      </c>
      <c r="C40" s="13" t="s">
        <v>79</v>
      </c>
      <c r="D40" s="14" t="s">
        <v>24</v>
      </c>
      <c r="E40" s="14" t="s">
        <v>16</v>
      </c>
      <c r="F40" s="15">
        <v>42135</v>
      </c>
      <c r="G40" s="88">
        <v>0.95</v>
      </c>
      <c r="H40" s="15"/>
      <c r="I40" s="88"/>
      <c r="J40" s="15"/>
      <c r="K40" s="88"/>
      <c r="L40" s="15"/>
      <c r="M40" s="88"/>
      <c r="N40" s="89">
        <f t="shared" si="0"/>
        <v>0.95</v>
      </c>
    </row>
    <row r="41" spans="2:14" x14ac:dyDescent="0.25">
      <c r="B41" s="12" t="s">
        <v>80</v>
      </c>
      <c r="C41" s="13" t="s">
        <v>81</v>
      </c>
      <c r="D41" s="14" t="s">
        <v>15</v>
      </c>
      <c r="E41" s="14" t="s">
        <v>16</v>
      </c>
      <c r="F41" s="15">
        <v>42142</v>
      </c>
      <c r="G41" s="91">
        <v>9.7684999999999994E-2</v>
      </c>
      <c r="H41" s="15"/>
      <c r="I41" s="88"/>
      <c r="J41" s="15"/>
      <c r="K41" s="88"/>
      <c r="L41" s="15"/>
      <c r="M41" s="88"/>
      <c r="N41" s="89">
        <f t="shared" si="0"/>
        <v>9.7684999999999994E-2</v>
      </c>
    </row>
    <row r="42" spans="2:14" x14ac:dyDescent="0.25">
      <c r="B42" s="12" t="s">
        <v>82</v>
      </c>
      <c r="C42" s="13" t="s">
        <v>83</v>
      </c>
      <c r="D42" s="14" t="s">
        <v>15</v>
      </c>
      <c r="E42" s="14" t="s">
        <v>77</v>
      </c>
      <c r="F42" s="15">
        <v>42110</v>
      </c>
      <c r="G42" s="88">
        <v>12.3</v>
      </c>
      <c r="H42" s="15">
        <v>42299</v>
      </c>
      <c r="I42" s="88">
        <v>9.3332999999999995</v>
      </c>
      <c r="J42" s="15"/>
      <c r="K42" s="88"/>
      <c r="L42" s="15"/>
      <c r="M42" s="88"/>
      <c r="N42" s="89">
        <f t="shared" si="0"/>
        <v>21.633299999999998</v>
      </c>
    </row>
    <row r="43" spans="2:14" x14ac:dyDescent="0.25">
      <c r="B43" s="12" t="s">
        <v>650</v>
      </c>
      <c r="C43" s="13" t="s">
        <v>125</v>
      </c>
      <c r="D43" s="14" t="s">
        <v>15</v>
      </c>
      <c r="E43" s="14" t="s">
        <v>16</v>
      </c>
      <c r="F43" s="15">
        <v>42142</v>
      </c>
      <c r="G43" s="88">
        <v>0.02</v>
      </c>
      <c r="H43" s="15"/>
      <c r="I43" s="88"/>
      <c r="J43" s="15"/>
      <c r="K43" s="88"/>
      <c r="L43" s="15"/>
      <c r="M43" s="88"/>
      <c r="N43" s="89">
        <f t="shared" si="0"/>
        <v>0.02</v>
      </c>
    </row>
    <row r="44" spans="2:14" x14ac:dyDescent="0.25">
      <c r="B44" s="12" t="s">
        <v>651</v>
      </c>
      <c r="C44" s="13" t="s">
        <v>89</v>
      </c>
      <c r="D44" s="14" t="s">
        <v>15</v>
      </c>
      <c r="E44" s="14" t="s">
        <v>16</v>
      </c>
      <c r="F44" s="15">
        <v>42142</v>
      </c>
      <c r="G44" s="88">
        <v>2.1999999999999999E-2</v>
      </c>
      <c r="H44" s="15"/>
      <c r="I44" s="88"/>
      <c r="J44" s="15"/>
      <c r="K44" s="88"/>
      <c r="L44" s="15"/>
      <c r="M44" s="88"/>
      <c r="N44" s="89">
        <f t="shared" si="0"/>
        <v>2.1999999999999999E-2</v>
      </c>
    </row>
    <row r="45" spans="2:14" x14ac:dyDescent="0.25">
      <c r="B45" s="12" t="s">
        <v>86</v>
      </c>
      <c r="C45" s="13" t="s">
        <v>87</v>
      </c>
      <c r="D45" s="14" t="s">
        <v>15</v>
      </c>
      <c r="E45" s="14" t="s">
        <v>16</v>
      </c>
      <c r="F45" s="15">
        <v>41995</v>
      </c>
      <c r="G45" s="88">
        <v>0.08</v>
      </c>
      <c r="H45" s="15">
        <v>42093</v>
      </c>
      <c r="I45" s="88">
        <v>0.13</v>
      </c>
      <c r="J45" s="15">
        <v>42201</v>
      </c>
      <c r="K45" s="88">
        <v>0.08</v>
      </c>
      <c r="L45" s="15">
        <v>42282</v>
      </c>
      <c r="M45" s="88">
        <v>0.08</v>
      </c>
      <c r="N45" s="89">
        <f t="shared" si="0"/>
        <v>0.37000000000000005</v>
      </c>
    </row>
    <row r="46" spans="2:14" x14ac:dyDescent="0.25">
      <c r="B46" s="12" t="s">
        <v>652</v>
      </c>
      <c r="C46" s="13" t="s">
        <v>653</v>
      </c>
      <c r="D46" s="14" t="s">
        <v>15</v>
      </c>
      <c r="E46" s="14" t="s">
        <v>16</v>
      </c>
      <c r="F46" s="15"/>
      <c r="G46" s="88"/>
      <c r="H46" s="15"/>
      <c r="I46" s="88"/>
      <c r="J46" s="15"/>
      <c r="K46" s="88"/>
      <c r="L46" s="15"/>
      <c r="M46" s="88"/>
      <c r="N46" s="89">
        <f t="shared" si="0"/>
        <v>0</v>
      </c>
    </row>
    <row r="47" spans="2:14" x14ac:dyDescent="0.25">
      <c r="B47" s="12" t="s">
        <v>654</v>
      </c>
      <c r="C47" s="13" t="s">
        <v>655</v>
      </c>
      <c r="D47" s="14" t="s">
        <v>15</v>
      </c>
      <c r="E47" s="14" t="s">
        <v>16</v>
      </c>
      <c r="F47" s="15">
        <v>42016</v>
      </c>
      <c r="G47" s="88">
        <v>1.7999999999999999E-2</v>
      </c>
      <c r="H47" s="15">
        <v>42110</v>
      </c>
      <c r="I47" s="88">
        <v>1.7999999999999999E-2</v>
      </c>
      <c r="J47" s="15">
        <v>42201</v>
      </c>
      <c r="K47" s="88">
        <v>0.02</v>
      </c>
      <c r="L47" s="15">
        <v>42258</v>
      </c>
      <c r="M47" s="88">
        <v>0.02</v>
      </c>
      <c r="N47" s="89">
        <f t="shared" si="0"/>
        <v>7.5999999999999998E-2</v>
      </c>
    </row>
    <row r="48" spans="2:14" x14ac:dyDescent="0.25">
      <c r="B48" s="12" t="s">
        <v>90</v>
      </c>
      <c r="C48" s="13" t="s">
        <v>91</v>
      </c>
      <c r="D48" s="14" t="s">
        <v>15</v>
      </c>
      <c r="E48" s="14" t="s">
        <v>16</v>
      </c>
      <c r="F48" s="15">
        <v>42018</v>
      </c>
      <c r="G48" s="88">
        <v>0.14599999999999999</v>
      </c>
      <c r="H48" s="15">
        <v>42108</v>
      </c>
      <c r="I48" s="88">
        <v>0.151</v>
      </c>
      <c r="J48" s="15">
        <v>42219</v>
      </c>
      <c r="K48" s="88">
        <v>0.05</v>
      </c>
      <c r="L48" s="15">
        <v>42297</v>
      </c>
      <c r="M48" s="88">
        <v>0.05</v>
      </c>
      <c r="N48" s="89">
        <f t="shared" si="0"/>
        <v>0.39699999999999996</v>
      </c>
    </row>
    <row r="49" spans="2:14" x14ac:dyDescent="0.25">
      <c r="B49" s="12" t="s">
        <v>92</v>
      </c>
      <c r="C49" s="13" t="s">
        <v>93</v>
      </c>
      <c r="D49" s="14" t="s">
        <v>15</v>
      </c>
      <c r="E49" s="14" t="s">
        <v>16</v>
      </c>
      <c r="F49" s="15">
        <v>42192</v>
      </c>
      <c r="G49" s="92">
        <v>1.7578E-2</v>
      </c>
      <c r="H49" s="15"/>
      <c r="I49" s="88"/>
      <c r="J49" s="15"/>
      <c r="K49" s="88"/>
      <c r="L49" s="15"/>
      <c r="M49" s="88"/>
      <c r="N49" s="89">
        <f t="shared" si="0"/>
        <v>1.7578E-2</v>
      </c>
    </row>
    <row r="50" spans="2:14" x14ac:dyDescent="0.25">
      <c r="B50" s="12" t="s">
        <v>94</v>
      </c>
      <c r="C50" s="13" t="s">
        <v>95</v>
      </c>
      <c r="D50" s="14" t="s">
        <v>15</v>
      </c>
      <c r="E50" s="14" t="s">
        <v>16</v>
      </c>
      <c r="F50" s="15">
        <v>42086</v>
      </c>
      <c r="G50" s="93">
        <v>7.6810000000000003E-2</v>
      </c>
      <c r="H50" s="15">
        <v>42184</v>
      </c>
      <c r="I50" s="88">
        <v>4.8522900000000001E-2</v>
      </c>
      <c r="J50" s="15">
        <v>42282</v>
      </c>
      <c r="K50" s="88">
        <v>5.2069999999999998E-2</v>
      </c>
      <c r="L50" s="15"/>
      <c r="M50" s="88"/>
      <c r="N50" s="89">
        <f t="shared" si="0"/>
        <v>0.1774029</v>
      </c>
    </row>
    <row r="51" spans="2:14" x14ac:dyDescent="0.25">
      <c r="B51" s="12" t="s">
        <v>96</v>
      </c>
      <c r="C51" s="13" t="s">
        <v>97</v>
      </c>
      <c r="D51" s="14" t="s">
        <v>15</v>
      </c>
      <c r="E51" s="14" t="s">
        <v>77</v>
      </c>
      <c r="F51" s="15">
        <v>42073</v>
      </c>
      <c r="G51" s="88">
        <v>3.5</v>
      </c>
      <c r="H51" s="15">
        <v>42131</v>
      </c>
      <c r="I51" s="88">
        <v>1</v>
      </c>
      <c r="J51" s="15">
        <v>42222</v>
      </c>
      <c r="K51" s="88">
        <v>1</v>
      </c>
      <c r="L51" s="15">
        <v>42313</v>
      </c>
      <c r="M51" s="88">
        <v>1</v>
      </c>
      <c r="N51" s="89">
        <f t="shared" si="0"/>
        <v>6.5</v>
      </c>
    </row>
    <row r="52" spans="2:14" x14ac:dyDescent="0.25">
      <c r="B52" s="12" t="s">
        <v>98</v>
      </c>
      <c r="C52" s="13" t="s">
        <v>99</v>
      </c>
      <c r="D52" s="14" t="s">
        <v>15</v>
      </c>
      <c r="E52" s="14" t="s">
        <v>16</v>
      </c>
      <c r="F52" s="15">
        <v>42128</v>
      </c>
      <c r="G52" s="88">
        <v>2.8</v>
      </c>
      <c r="H52" s="15"/>
      <c r="I52" s="88"/>
      <c r="J52" s="15"/>
      <c r="K52" s="88"/>
      <c r="L52" s="15"/>
      <c r="M52" s="88"/>
      <c r="N52" s="89">
        <f t="shared" si="0"/>
        <v>2.8</v>
      </c>
    </row>
    <row r="53" spans="2:14" x14ac:dyDescent="0.25">
      <c r="B53" s="12" t="s">
        <v>100</v>
      </c>
      <c r="C53" s="13" t="s">
        <v>101</v>
      </c>
      <c r="D53" s="14" t="s">
        <v>15</v>
      </c>
      <c r="E53" s="14" t="s">
        <v>16</v>
      </c>
      <c r="F53" s="15">
        <v>42152</v>
      </c>
      <c r="G53" s="88">
        <v>2.25</v>
      </c>
      <c r="H53" s="15"/>
      <c r="I53" s="88"/>
      <c r="J53" s="15"/>
      <c r="K53" s="88"/>
      <c r="L53" s="15"/>
      <c r="M53" s="88"/>
      <c r="N53" s="89">
        <f t="shared" si="0"/>
        <v>2.25</v>
      </c>
    </row>
    <row r="54" spans="2:14" x14ac:dyDescent="0.25">
      <c r="B54" s="12" t="s">
        <v>102</v>
      </c>
      <c r="C54" s="13" t="s">
        <v>103</v>
      </c>
      <c r="D54" s="14" t="s">
        <v>27</v>
      </c>
      <c r="E54" s="14" t="s">
        <v>16</v>
      </c>
      <c r="F54" s="15">
        <v>42130</v>
      </c>
      <c r="G54" s="88">
        <v>0.86</v>
      </c>
      <c r="H54" s="15">
        <v>42334</v>
      </c>
      <c r="I54" s="88">
        <v>2.59</v>
      </c>
      <c r="J54" s="15"/>
      <c r="K54" s="88"/>
      <c r="L54" s="15"/>
      <c r="M54" s="88"/>
      <c r="N54" s="89">
        <f t="shared" si="0"/>
        <v>3.4499999999999997</v>
      </c>
    </row>
    <row r="55" spans="2:14" x14ac:dyDescent="0.25">
      <c r="B55" s="12" t="s">
        <v>104</v>
      </c>
      <c r="C55" s="13" t="s">
        <v>105</v>
      </c>
      <c r="D55" s="14" t="s">
        <v>27</v>
      </c>
      <c r="E55" s="14" t="s">
        <v>16</v>
      </c>
      <c r="F55" s="15">
        <v>42139</v>
      </c>
      <c r="G55" s="88">
        <v>0.85</v>
      </c>
      <c r="H55" s="15"/>
      <c r="I55" s="88"/>
      <c r="J55" s="15"/>
      <c r="K55" s="88"/>
      <c r="L55" s="15"/>
      <c r="M55" s="88"/>
      <c r="N55" s="89">
        <f t="shared" si="0"/>
        <v>0.85</v>
      </c>
    </row>
    <row r="56" spans="2:14" x14ac:dyDescent="0.25">
      <c r="B56" s="12" t="s">
        <v>108</v>
      </c>
      <c r="C56" s="13" t="s">
        <v>109</v>
      </c>
      <c r="D56" s="14" t="s">
        <v>15</v>
      </c>
      <c r="E56" s="14" t="s">
        <v>16</v>
      </c>
      <c r="F56" s="15">
        <v>42138</v>
      </c>
      <c r="G56" s="88">
        <v>2.9</v>
      </c>
      <c r="H56" s="15"/>
      <c r="I56" s="88"/>
      <c r="J56" s="15"/>
      <c r="K56" s="88"/>
      <c r="L56" s="15"/>
      <c r="M56" s="88"/>
      <c r="N56" s="89">
        <f t="shared" si="0"/>
        <v>2.9</v>
      </c>
    </row>
    <row r="57" spans="2:14" x14ac:dyDescent="0.25">
      <c r="B57" s="12" t="s">
        <v>110</v>
      </c>
      <c r="C57" s="13" t="s">
        <v>111</v>
      </c>
      <c r="D57" s="14" t="s">
        <v>24</v>
      </c>
      <c r="E57" s="14" t="s">
        <v>16</v>
      </c>
      <c r="F57" s="15">
        <v>42144</v>
      </c>
      <c r="G57" s="88">
        <v>1.5</v>
      </c>
      <c r="H57" s="15"/>
      <c r="I57" s="88"/>
      <c r="J57" s="15"/>
      <c r="K57" s="88"/>
      <c r="L57" s="15"/>
      <c r="M57" s="88"/>
      <c r="N57" s="89">
        <f t="shared" si="0"/>
        <v>1.5</v>
      </c>
    </row>
    <row r="58" spans="2:14" x14ac:dyDescent="0.25">
      <c r="B58" s="12" t="s">
        <v>114</v>
      </c>
      <c r="C58" s="13" t="s">
        <v>115</v>
      </c>
      <c r="D58" s="14" t="s">
        <v>24</v>
      </c>
      <c r="E58" s="14" t="s">
        <v>16</v>
      </c>
      <c r="F58" s="15">
        <v>42164</v>
      </c>
      <c r="G58" s="88">
        <v>0.04</v>
      </c>
      <c r="H58" s="15">
        <v>42255</v>
      </c>
      <c r="I58" s="88">
        <v>0.02</v>
      </c>
      <c r="J58" s="15"/>
      <c r="K58" s="88"/>
      <c r="L58" s="15"/>
      <c r="M58" s="88"/>
      <c r="N58" s="89">
        <f t="shared" si="0"/>
        <v>0.06</v>
      </c>
    </row>
    <row r="59" spans="2:14" x14ac:dyDescent="0.25">
      <c r="B59" s="12" t="s">
        <v>116</v>
      </c>
      <c r="C59" s="13" t="s">
        <v>117</v>
      </c>
      <c r="D59" s="14" t="s">
        <v>15</v>
      </c>
      <c r="E59" s="14" t="s">
        <v>16</v>
      </c>
      <c r="F59" s="15">
        <v>41996</v>
      </c>
      <c r="G59" s="88">
        <v>0.6</v>
      </c>
      <c r="H59" s="15">
        <v>42132</v>
      </c>
      <c r="I59" s="88">
        <v>0.89</v>
      </c>
      <c r="J59" s="15">
        <v>42258</v>
      </c>
      <c r="K59" s="88">
        <v>0.4</v>
      </c>
      <c r="L59" s="15"/>
      <c r="M59" s="88"/>
      <c r="N59" s="89">
        <f t="shared" si="0"/>
        <v>1.8900000000000001</v>
      </c>
    </row>
    <row r="60" spans="2:14" x14ac:dyDescent="0.25">
      <c r="B60" s="12" t="s">
        <v>118</v>
      </c>
      <c r="C60" s="13" t="s">
        <v>119</v>
      </c>
      <c r="D60" s="14" t="s">
        <v>15</v>
      </c>
      <c r="E60" s="14" t="s">
        <v>16</v>
      </c>
      <c r="F60" s="15">
        <v>42138</v>
      </c>
      <c r="G60" s="88">
        <v>1.6</v>
      </c>
      <c r="H60" s="15"/>
      <c r="I60" s="88"/>
      <c r="J60" s="15"/>
      <c r="K60" s="88"/>
      <c r="L60" s="15"/>
      <c r="M60" s="88"/>
      <c r="N60" s="89">
        <f t="shared" si="0"/>
        <v>1.6</v>
      </c>
    </row>
    <row r="61" spans="2:14" x14ac:dyDescent="0.25">
      <c r="B61" s="12" t="s">
        <v>120</v>
      </c>
      <c r="C61" s="13" t="s">
        <v>121</v>
      </c>
      <c r="D61" s="14" t="s">
        <v>24</v>
      </c>
      <c r="E61" s="14" t="s">
        <v>16</v>
      </c>
      <c r="F61" s="15">
        <v>42122</v>
      </c>
      <c r="G61" s="88">
        <v>1.6</v>
      </c>
      <c r="H61" s="15"/>
      <c r="I61" s="88"/>
      <c r="J61" s="15"/>
      <c r="K61" s="88"/>
      <c r="L61" s="15"/>
      <c r="M61" s="88"/>
      <c r="N61" s="89">
        <f t="shared" si="0"/>
        <v>1.6</v>
      </c>
    </row>
    <row r="62" spans="2:14" x14ac:dyDescent="0.25">
      <c r="B62" s="12" t="s">
        <v>122</v>
      </c>
      <c r="C62" s="13" t="s">
        <v>123</v>
      </c>
      <c r="D62" s="14" t="s">
        <v>15</v>
      </c>
      <c r="E62" s="14" t="s">
        <v>77</v>
      </c>
      <c r="F62" s="15">
        <v>42047</v>
      </c>
      <c r="G62" s="88">
        <v>6.5998999999999999</v>
      </c>
      <c r="H62" s="15">
        <v>42131</v>
      </c>
      <c r="I62" s="88">
        <v>6.6</v>
      </c>
      <c r="J62" s="15">
        <v>42222</v>
      </c>
      <c r="K62" s="88">
        <v>6.3998999999999997</v>
      </c>
      <c r="L62" s="15">
        <v>42313</v>
      </c>
      <c r="M62" s="88">
        <v>6.4874000000000001</v>
      </c>
      <c r="N62" s="89">
        <f t="shared" si="0"/>
        <v>26.087199999999999</v>
      </c>
    </row>
    <row r="63" spans="2:14" x14ac:dyDescent="0.25">
      <c r="B63" s="12" t="s">
        <v>126</v>
      </c>
      <c r="C63" s="13" t="s">
        <v>127</v>
      </c>
      <c r="D63" s="14" t="s">
        <v>27</v>
      </c>
      <c r="E63" s="14" t="s">
        <v>16</v>
      </c>
      <c r="F63" s="15">
        <v>42142</v>
      </c>
      <c r="G63" s="88">
        <v>0.22</v>
      </c>
      <c r="H63" s="15">
        <v>42346</v>
      </c>
      <c r="I63" s="88">
        <v>1.05</v>
      </c>
      <c r="J63" s="15"/>
      <c r="K63" s="88"/>
      <c r="L63" s="15"/>
      <c r="M63" s="88"/>
      <c r="N63" s="89">
        <f t="shared" si="0"/>
        <v>1.27</v>
      </c>
    </row>
    <row r="64" spans="2:14" x14ac:dyDescent="0.25">
      <c r="B64" s="12" t="s">
        <v>128</v>
      </c>
      <c r="C64" s="13" t="s">
        <v>129</v>
      </c>
      <c r="D64" s="14" t="s">
        <v>15</v>
      </c>
      <c r="E64" s="14" t="s">
        <v>77</v>
      </c>
      <c r="F64" s="15">
        <v>42082</v>
      </c>
      <c r="G64" s="88">
        <v>100.6</v>
      </c>
      <c r="H64" s="15">
        <v>42236</v>
      </c>
      <c r="I64" s="88">
        <v>49.4</v>
      </c>
      <c r="J64" s="15"/>
      <c r="K64" s="88"/>
      <c r="L64" s="15"/>
      <c r="M64" s="88"/>
      <c r="N64" s="89">
        <f t="shared" si="0"/>
        <v>150</v>
      </c>
    </row>
    <row r="65" spans="2:14" x14ac:dyDescent="0.25">
      <c r="B65" s="12" t="s">
        <v>130</v>
      </c>
      <c r="C65" s="13" t="s">
        <v>131</v>
      </c>
      <c r="D65" s="14" t="s">
        <v>15</v>
      </c>
      <c r="E65" s="14" t="s">
        <v>77</v>
      </c>
      <c r="F65" s="15">
        <v>42002</v>
      </c>
      <c r="G65" s="88">
        <v>3.9</v>
      </c>
      <c r="H65" s="15">
        <v>42229</v>
      </c>
      <c r="I65" s="88">
        <v>8.5</v>
      </c>
      <c r="J65" s="15"/>
      <c r="K65" s="88"/>
      <c r="L65" s="15"/>
      <c r="M65" s="88"/>
      <c r="N65" s="89">
        <f t="shared" si="0"/>
        <v>12.4</v>
      </c>
    </row>
    <row r="66" spans="2:14" x14ac:dyDescent="0.25">
      <c r="B66" s="12" t="s">
        <v>132</v>
      </c>
      <c r="C66" s="13" t="s">
        <v>133</v>
      </c>
      <c r="D66" s="14" t="s">
        <v>15</v>
      </c>
      <c r="E66" s="14" t="s">
        <v>16</v>
      </c>
      <c r="F66" s="15">
        <v>42066</v>
      </c>
      <c r="G66" s="88">
        <v>0.04</v>
      </c>
      <c r="H66" s="15">
        <v>42167</v>
      </c>
      <c r="I66" s="88">
        <v>0.04</v>
      </c>
      <c r="J66" s="15">
        <v>42255</v>
      </c>
      <c r="K66" s="88">
        <v>0.04</v>
      </c>
      <c r="L66" s="15"/>
      <c r="M66" s="88"/>
      <c r="N66" s="89">
        <f t="shared" si="0"/>
        <v>0.12</v>
      </c>
    </row>
    <row r="67" spans="2:14" x14ac:dyDescent="0.25">
      <c r="B67" s="12" t="s">
        <v>656</v>
      </c>
      <c r="C67" s="13" t="s">
        <v>134</v>
      </c>
      <c r="D67" s="14" t="s">
        <v>24</v>
      </c>
      <c r="E67" s="14" t="s">
        <v>16</v>
      </c>
      <c r="F67" s="15">
        <v>42142</v>
      </c>
      <c r="G67" s="88">
        <v>1.2</v>
      </c>
      <c r="H67" s="15"/>
      <c r="I67" s="88"/>
      <c r="J67" s="15"/>
      <c r="K67" s="88"/>
      <c r="L67" s="15"/>
      <c r="M67" s="88"/>
      <c r="N67" s="89">
        <f t="shared" si="0"/>
        <v>1.2</v>
      </c>
    </row>
    <row r="68" spans="2:14" x14ac:dyDescent="0.25">
      <c r="B68" s="12" t="s">
        <v>135</v>
      </c>
      <c r="C68" s="13" t="s">
        <v>136</v>
      </c>
      <c r="D68" s="14" t="s">
        <v>24</v>
      </c>
      <c r="E68" s="14" t="s">
        <v>16</v>
      </c>
      <c r="F68" s="15">
        <v>42172</v>
      </c>
      <c r="G68" s="88">
        <v>0.68</v>
      </c>
      <c r="H68" s="15"/>
      <c r="I68" s="88"/>
      <c r="J68" s="15"/>
      <c r="K68" s="88"/>
      <c r="L68" s="15"/>
      <c r="M68" s="88"/>
      <c r="N68" s="89">
        <f t="shared" si="0"/>
        <v>0.68</v>
      </c>
    </row>
    <row r="69" spans="2:14" x14ac:dyDescent="0.25">
      <c r="B69" s="12" t="s">
        <v>139</v>
      </c>
      <c r="C69" s="13" t="s">
        <v>140</v>
      </c>
      <c r="D69" s="14" t="s">
        <v>15</v>
      </c>
      <c r="E69" s="14" t="s">
        <v>77</v>
      </c>
      <c r="F69" s="15">
        <v>42124</v>
      </c>
      <c r="G69" s="88">
        <v>8.4</v>
      </c>
      <c r="H69" s="15">
        <v>42278</v>
      </c>
      <c r="I69" s="88">
        <v>3.57</v>
      </c>
      <c r="J69" s="15"/>
      <c r="K69" s="88"/>
      <c r="L69" s="15"/>
      <c r="M69" s="88"/>
      <c r="N69" s="89">
        <f t="shared" si="0"/>
        <v>11.97</v>
      </c>
    </row>
    <row r="70" spans="2:14" x14ac:dyDescent="0.25">
      <c r="B70" s="12" t="s">
        <v>151</v>
      </c>
      <c r="C70" s="13" t="s">
        <v>152</v>
      </c>
      <c r="D70" s="14" t="s">
        <v>15</v>
      </c>
      <c r="E70" s="14" t="s">
        <v>16</v>
      </c>
      <c r="F70" s="15">
        <v>42187</v>
      </c>
      <c r="G70" s="88">
        <v>0.36</v>
      </c>
      <c r="H70" s="15"/>
      <c r="I70" s="88"/>
      <c r="J70" s="15"/>
      <c r="K70" s="88"/>
      <c r="L70" s="15"/>
      <c r="M70" s="88"/>
      <c r="N70" s="89">
        <f t="shared" si="0"/>
        <v>0.36</v>
      </c>
    </row>
    <row r="71" spans="2:14" x14ac:dyDescent="0.25">
      <c r="B71" s="12" t="s">
        <v>153</v>
      </c>
      <c r="C71" s="13" t="s">
        <v>154</v>
      </c>
      <c r="D71" s="14" t="s">
        <v>27</v>
      </c>
      <c r="E71" s="14" t="s">
        <v>16</v>
      </c>
      <c r="F71" s="15">
        <v>42279</v>
      </c>
      <c r="G71" s="88">
        <v>1</v>
      </c>
      <c r="H71" s="15"/>
      <c r="I71" s="88"/>
      <c r="J71" s="15"/>
      <c r="K71" s="88"/>
      <c r="L71" s="15"/>
      <c r="M71" s="88"/>
      <c r="N71" s="89">
        <f t="shared" si="0"/>
        <v>1</v>
      </c>
    </row>
    <row r="72" spans="2:14" x14ac:dyDescent="0.25">
      <c r="B72" s="12" t="s">
        <v>156</v>
      </c>
      <c r="C72" s="13" t="s">
        <v>157</v>
      </c>
      <c r="D72" s="14" t="s">
        <v>15</v>
      </c>
      <c r="E72" s="14" t="s">
        <v>21</v>
      </c>
      <c r="F72" s="15">
        <v>42265</v>
      </c>
      <c r="G72" s="88">
        <v>1.6</v>
      </c>
      <c r="H72" s="15"/>
      <c r="I72" s="88"/>
      <c r="J72" s="15"/>
      <c r="K72" s="88"/>
      <c r="L72" s="15"/>
      <c r="M72" s="88"/>
      <c r="N72" s="89">
        <f t="shared" si="0"/>
        <v>1.6</v>
      </c>
    </row>
    <row r="73" spans="2:14" x14ac:dyDescent="0.25">
      <c r="B73" s="12" t="s">
        <v>158</v>
      </c>
      <c r="C73" s="13" t="s">
        <v>159</v>
      </c>
      <c r="D73" s="14" t="s">
        <v>15</v>
      </c>
      <c r="E73" s="14" t="s">
        <v>77</v>
      </c>
      <c r="F73" s="15">
        <v>42026</v>
      </c>
      <c r="G73" s="88">
        <v>17.7</v>
      </c>
      <c r="H73" s="15">
        <v>42180</v>
      </c>
      <c r="I73" s="88">
        <v>9.8000000000000007</v>
      </c>
      <c r="J73" s="15"/>
      <c r="K73" s="88"/>
      <c r="L73" s="15"/>
      <c r="M73" s="88"/>
      <c r="N73" s="89">
        <f t="shared" si="0"/>
        <v>27.5</v>
      </c>
    </row>
    <row r="74" spans="2:14" x14ac:dyDescent="0.25">
      <c r="B74" s="12" t="s">
        <v>162</v>
      </c>
      <c r="C74" s="13" t="s">
        <v>163</v>
      </c>
      <c r="D74" s="14" t="s">
        <v>15</v>
      </c>
      <c r="E74" s="14" t="s">
        <v>16</v>
      </c>
      <c r="F74" s="15">
        <v>42128</v>
      </c>
      <c r="G74" s="88">
        <v>3.25</v>
      </c>
      <c r="H74" s="15"/>
      <c r="I74" s="88"/>
      <c r="J74" s="15"/>
      <c r="K74" s="88"/>
      <c r="L74" s="15"/>
      <c r="M74" s="88"/>
      <c r="N74" s="89">
        <f t="shared" si="0"/>
        <v>3.25</v>
      </c>
    </row>
    <row r="75" spans="2:14" x14ac:dyDescent="0.25">
      <c r="B75" s="12" t="s">
        <v>164</v>
      </c>
      <c r="C75" s="13" t="s">
        <v>165</v>
      </c>
      <c r="D75" s="14" t="s">
        <v>24</v>
      </c>
      <c r="E75" s="14" t="s">
        <v>16</v>
      </c>
      <c r="F75" s="15">
        <v>42152</v>
      </c>
      <c r="G75" s="88">
        <v>0.35</v>
      </c>
      <c r="H75" s="15"/>
      <c r="I75" s="88"/>
      <c r="J75" s="15"/>
      <c r="K75" s="88"/>
      <c r="L75" s="15"/>
      <c r="M75" s="88"/>
      <c r="N75" s="89">
        <f t="shared" si="0"/>
        <v>0.35</v>
      </c>
    </row>
    <row r="76" spans="2:14" x14ac:dyDescent="0.25">
      <c r="B76" s="12" t="s">
        <v>166</v>
      </c>
      <c r="C76" s="13" t="s">
        <v>167</v>
      </c>
      <c r="D76" s="14" t="s">
        <v>15</v>
      </c>
      <c r="E76" s="14" t="s">
        <v>21</v>
      </c>
      <c r="F76" s="15">
        <v>42128</v>
      </c>
      <c r="G76" s="94">
        <v>0.6804</v>
      </c>
      <c r="H76" s="15"/>
      <c r="I76" s="88"/>
      <c r="J76" s="15"/>
      <c r="K76" s="88"/>
      <c r="L76" s="15"/>
      <c r="M76" s="88"/>
      <c r="N76" s="89">
        <f t="shared" si="0"/>
        <v>0.6804</v>
      </c>
    </row>
    <row r="77" spans="2:14" x14ac:dyDescent="0.25">
      <c r="B77" s="12" t="s">
        <v>168</v>
      </c>
      <c r="C77" s="13" t="s">
        <v>169</v>
      </c>
      <c r="D77" s="14" t="s">
        <v>15</v>
      </c>
      <c r="E77" s="14" t="s">
        <v>16</v>
      </c>
      <c r="F77" s="15">
        <v>42068</v>
      </c>
      <c r="G77" s="88">
        <v>0.44</v>
      </c>
      <c r="H77" s="15">
        <v>42257</v>
      </c>
      <c r="I77" s="88">
        <v>0.185</v>
      </c>
      <c r="J77" s="15"/>
      <c r="K77" s="88"/>
      <c r="L77" s="15"/>
      <c r="M77" s="88"/>
      <c r="N77" s="89">
        <f t="shared" si="0"/>
        <v>0.625</v>
      </c>
    </row>
    <row r="78" spans="2:14" x14ac:dyDescent="0.25">
      <c r="B78" s="12" t="s">
        <v>170</v>
      </c>
      <c r="C78" s="13" t="s">
        <v>171</v>
      </c>
      <c r="D78" s="14" t="s">
        <v>15</v>
      </c>
      <c r="E78" s="14" t="s">
        <v>16</v>
      </c>
      <c r="F78" s="15">
        <v>42096</v>
      </c>
      <c r="G78" s="88">
        <v>2.4500000000000002</v>
      </c>
      <c r="H78" s="15"/>
      <c r="I78" s="88"/>
      <c r="J78" s="15"/>
      <c r="K78" s="88"/>
      <c r="L78" s="15"/>
      <c r="M78" s="88"/>
      <c r="N78" s="89">
        <f t="shared" ref="N78:N142" si="1">G78+I78+K78+M78</f>
        <v>2.4500000000000002</v>
      </c>
    </row>
    <row r="79" spans="2:14" x14ac:dyDescent="0.25">
      <c r="B79" s="12" t="s">
        <v>172</v>
      </c>
      <c r="C79" s="13" t="s">
        <v>173</v>
      </c>
      <c r="D79" s="14" t="s">
        <v>24</v>
      </c>
      <c r="E79" s="14" t="s">
        <v>16</v>
      </c>
      <c r="F79" s="15">
        <v>42131</v>
      </c>
      <c r="G79" s="88">
        <v>1.5</v>
      </c>
      <c r="H79" s="15"/>
      <c r="I79" s="88"/>
      <c r="J79" s="15"/>
      <c r="K79" s="88"/>
      <c r="L79" s="15"/>
      <c r="M79" s="88"/>
      <c r="N79" s="89">
        <f t="shared" si="1"/>
        <v>1.5</v>
      </c>
    </row>
    <row r="80" spans="2:14" x14ac:dyDescent="0.25">
      <c r="B80" s="12" t="s">
        <v>657</v>
      </c>
      <c r="C80" s="13" t="s">
        <v>39</v>
      </c>
      <c r="D80" s="14" t="s">
        <v>27</v>
      </c>
      <c r="E80" s="14" t="s">
        <v>16</v>
      </c>
      <c r="F80" s="15">
        <v>42157</v>
      </c>
      <c r="G80" s="88">
        <v>1.6</v>
      </c>
      <c r="H80" s="15"/>
      <c r="I80" s="88"/>
      <c r="J80" s="15"/>
      <c r="K80" s="88"/>
      <c r="L80" s="15"/>
      <c r="M80" s="88"/>
      <c r="N80" s="89">
        <f t="shared" si="1"/>
        <v>1.6</v>
      </c>
    </row>
    <row r="81" spans="1:15" x14ac:dyDescent="0.25">
      <c r="B81" s="12" t="s">
        <v>658</v>
      </c>
      <c r="C81" s="13" t="s">
        <v>659</v>
      </c>
      <c r="D81" s="14" t="s">
        <v>15</v>
      </c>
      <c r="E81" s="14" t="s">
        <v>16</v>
      </c>
      <c r="F81" s="15">
        <v>42149</v>
      </c>
      <c r="G81" s="88">
        <v>0.61</v>
      </c>
      <c r="H81" s="15">
        <v>42229</v>
      </c>
      <c r="I81" s="88">
        <v>0.42</v>
      </c>
      <c r="J81" s="15"/>
      <c r="K81" s="88"/>
      <c r="L81" s="15"/>
      <c r="M81" s="88"/>
      <c r="N81" s="89">
        <f t="shared" si="1"/>
        <v>1.03</v>
      </c>
    </row>
    <row r="82" spans="1:15" x14ac:dyDescent="0.25">
      <c r="B82" s="12" t="s">
        <v>174</v>
      </c>
      <c r="C82" s="13" t="s">
        <v>175</v>
      </c>
      <c r="D82" s="14" t="s">
        <v>15</v>
      </c>
      <c r="E82" s="14" t="s">
        <v>16</v>
      </c>
      <c r="F82" s="15">
        <v>42146</v>
      </c>
      <c r="G82" s="88">
        <v>0.75</v>
      </c>
      <c r="H82" s="15"/>
      <c r="I82" s="88"/>
      <c r="J82" s="15"/>
      <c r="K82" s="88"/>
      <c r="L82" s="15"/>
      <c r="M82" s="88"/>
      <c r="N82" s="89">
        <f t="shared" si="1"/>
        <v>0.75</v>
      </c>
    </row>
    <row r="83" spans="1:15" x14ac:dyDescent="0.25">
      <c r="B83" s="12" t="s">
        <v>176</v>
      </c>
      <c r="C83" s="13" t="s">
        <v>177</v>
      </c>
      <c r="D83" s="14" t="s">
        <v>15</v>
      </c>
      <c r="E83" s="14" t="s">
        <v>16</v>
      </c>
      <c r="F83" s="15">
        <v>42138</v>
      </c>
      <c r="G83" s="88">
        <v>2.1</v>
      </c>
      <c r="H83" s="15"/>
      <c r="I83" s="88"/>
      <c r="J83" s="15"/>
      <c r="K83" s="88"/>
      <c r="L83" s="15"/>
      <c r="M83" s="88"/>
      <c r="N83" s="89">
        <f t="shared" si="1"/>
        <v>2.1</v>
      </c>
    </row>
    <row r="84" spans="1:15" x14ac:dyDescent="0.25">
      <c r="B84" s="12" t="s">
        <v>178</v>
      </c>
      <c r="C84" s="13" t="s">
        <v>179</v>
      </c>
      <c r="D84" s="14" t="s">
        <v>15</v>
      </c>
      <c r="E84" s="14" t="s">
        <v>16</v>
      </c>
      <c r="F84" s="15"/>
      <c r="G84" s="88"/>
      <c r="H84" s="15"/>
      <c r="I84" s="88"/>
      <c r="J84" s="15"/>
      <c r="K84" s="88"/>
      <c r="L84" s="15"/>
      <c r="M84" s="88"/>
      <c r="N84" s="89">
        <f t="shared" si="1"/>
        <v>0</v>
      </c>
    </row>
    <row r="85" spans="1:15" x14ac:dyDescent="0.25">
      <c r="B85" s="12" t="s">
        <v>180</v>
      </c>
      <c r="C85" s="13" t="s">
        <v>181</v>
      </c>
      <c r="D85" s="14" t="s">
        <v>15</v>
      </c>
      <c r="E85" s="14" t="s">
        <v>16</v>
      </c>
      <c r="F85" s="15">
        <v>42152</v>
      </c>
      <c r="G85" s="88">
        <v>0.85</v>
      </c>
      <c r="H85" s="15"/>
      <c r="I85" s="88"/>
      <c r="J85" s="15"/>
      <c r="K85" s="88"/>
      <c r="L85" s="15"/>
      <c r="M85" s="88"/>
      <c r="N85" s="89">
        <f t="shared" si="1"/>
        <v>0.85</v>
      </c>
    </row>
    <row r="86" spans="1:15" x14ac:dyDescent="0.25">
      <c r="B86" s="12" t="s">
        <v>182</v>
      </c>
      <c r="C86" s="13" t="s">
        <v>183</v>
      </c>
      <c r="D86" s="14" t="s">
        <v>15</v>
      </c>
      <c r="E86" s="14" t="s">
        <v>16</v>
      </c>
      <c r="F86" s="15">
        <v>42146</v>
      </c>
      <c r="G86" s="88">
        <v>0.5</v>
      </c>
      <c r="H86" s="15"/>
      <c r="I86" s="88"/>
      <c r="J86" s="15"/>
      <c r="K86" s="88"/>
      <c r="L86" s="15"/>
      <c r="M86" s="88"/>
      <c r="N86" s="89">
        <f t="shared" si="1"/>
        <v>0.5</v>
      </c>
    </row>
    <row r="87" spans="1:15" x14ac:dyDescent="0.25">
      <c r="B87" s="12" t="s">
        <v>184</v>
      </c>
      <c r="C87" s="13" t="s">
        <v>185</v>
      </c>
      <c r="D87" s="14" t="s">
        <v>15</v>
      </c>
      <c r="E87" s="14" t="s">
        <v>77</v>
      </c>
      <c r="F87" s="15">
        <v>42061</v>
      </c>
      <c r="G87" s="88">
        <v>21.5</v>
      </c>
      <c r="H87" s="15">
        <v>42229</v>
      </c>
      <c r="I87" s="88">
        <v>34.9</v>
      </c>
      <c r="J87" s="15"/>
      <c r="K87" s="88"/>
      <c r="L87" s="15"/>
      <c r="M87" s="88"/>
      <c r="N87" s="89">
        <f t="shared" si="1"/>
        <v>56.4</v>
      </c>
    </row>
    <row r="88" spans="1:15" x14ac:dyDescent="0.25">
      <c r="B88" s="12" t="s">
        <v>186</v>
      </c>
      <c r="C88" s="13" t="s">
        <v>187</v>
      </c>
      <c r="D88" s="14" t="s">
        <v>27</v>
      </c>
      <c r="E88" s="14" t="s">
        <v>16</v>
      </c>
      <c r="F88" s="15">
        <v>42157</v>
      </c>
      <c r="G88" s="88">
        <v>0.8</v>
      </c>
      <c r="H88" s="15"/>
      <c r="I88" s="88"/>
      <c r="J88" s="15"/>
      <c r="K88" s="88"/>
      <c r="L88" s="15"/>
      <c r="M88" s="88"/>
      <c r="N88" s="89">
        <f t="shared" si="1"/>
        <v>0.8</v>
      </c>
    </row>
    <row r="89" spans="1:15" x14ac:dyDescent="0.25">
      <c r="B89" s="12" t="s">
        <v>188</v>
      </c>
      <c r="C89" s="13" t="s">
        <v>189</v>
      </c>
      <c r="D89" s="14" t="s">
        <v>15</v>
      </c>
      <c r="E89" s="14" t="s">
        <v>16</v>
      </c>
      <c r="F89" s="15">
        <v>42201</v>
      </c>
      <c r="G89" s="88">
        <v>0.18</v>
      </c>
      <c r="H89" s="15"/>
      <c r="I89" s="88"/>
      <c r="J89" s="15"/>
      <c r="K89" s="88"/>
      <c r="L89" s="15"/>
      <c r="M89" s="88"/>
      <c r="N89" s="89">
        <f t="shared" si="1"/>
        <v>0.18</v>
      </c>
    </row>
    <row r="90" spans="1:15" x14ac:dyDescent="0.25">
      <c r="B90" s="12" t="s">
        <v>190</v>
      </c>
      <c r="C90" s="13" t="s">
        <v>191</v>
      </c>
      <c r="D90" s="14" t="s">
        <v>15</v>
      </c>
      <c r="E90" s="14" t="s">
        <v>16</v>
      </c>
      <c r="F90" s="15">
        <v>42129</v>
      </c>
      <c r="G90" s="88">
        <v>1.1000000000000001</v>
      </c>
      <c r="H90" s="15">
        <v>42221</v>
      </c>
      <c r="I90" s="88">
        <v>0.55000000000000004</v>
      </c>
      <c r="J90" s="15"/>
      <c r="K90" s="88"/>
      <c r="L90" s="15"/>
      <c r="M90" s="88"/>
      <c r="N90" s="89">
        <f t="shared" si="1"/>
        <v>1.6500000000000001</v>
      </c>
    </row>
    <row r="91" spans="1:15" x14ac:dyDescent="0.25">
      <c r="B91" s="12" t="s">
        <v>194</v>
      </c>
      <c r="C91" s="13" t="s">
        <v>195</v>
      </c>
      <c r="D91" s="14" t="s">
        <v>15</v>
      </c>
      <c r="E91" s="14" t="s">
        <v>16</v>
      </c>
      <c r="F91" s="15">
        <v>42132</v>
      </c>
      <c r="G91" s="88">
        <v>0.5</v>
      </c>
      <c r="H91" s="15"/>
      <c r="I91" s="88"/>
      <c r="J91" s="15"/>
      <c r="K91" s="88"/>
      <c r="L91" s="15"/>
      <c r="M91" s="88"/>
      <c r="N91" s="89">
        <f t="shared" si="1"/>
        <v>0.5</v>
      </c>
    </row>
    <row r="92" spans="1:15" x14ac:dyDescent="0.25">
      <c r="B92" s="12" t="s">
        <v>196</v>
      </c>
      <c r="C92" s="13" t="s">
        <v>197</v>
      </c>
      <c r="D92" s="14" t="s">
        <v>24</v>
      </c>
      <c r="E92" s="14" t="s">
        <v>16</v>
      </c>
      <c r="F92" s="15">
        <v>42158</v>
      </c>
      <c r="G92" s="88">
        <v>0.68</v>
      </c>
      <c r="H92" s="15">
        <v>42328</v>
      </c>
      <c r="I92" s="88">
        <v>0.56999999999999995</v>
      </c>
      <c r="J92" s="15"/>
      <c r="K92" s="88"/>
      <c r="L92" s="15"/>
      <c r="M92" s="88"/>
      <c r="N92" s="89">
        <f t="shared" si="1"/>
        <v>1.25</v>
      </c>
    </row>
    <row r="93" spans="1:15" x14ac:dyDescent="0.25">
      <c r="A93" s="33"/>
      <c r="B93" s="37" t="s">
        <v>201</v>
      </c>
      <c r="C93" s="13" t="s">
        <v>202</v>
      </c>
      <c r="D93" s="14" t="s">
        <v>27</v>
      </c>
      <c r="E93" s="14" t="s">
        <v>16</v>
      </c>
      <c r="F93" s="15">
        <v>42156</v>
      </c>
      <c r="G93" s="88">
        <v>1.54</v>
      </c>
      <c r="H93" s="15"/>
      <c r="I93" s="88"/>
      <c r="J93" s="15"/>
      <c r="K93" s="88"/>
      <c r="L93" s="15"/>
      <c r="M93" s="88"/>
      <c r="N93" s="89">
        <f t="shared" si="1"/>
        <v>1.54</v>
      </c>
      <c r="O93" s="36"/>
    </row>
    <row r="94" spans="1:15" x14ac:dyDescent="0.25">
      <c r="A94" s="33"/>
      <c r="B94" s="37" t="s">
        <v>205</v>
      </c>
      <c r="C94" s="13" t="s">
        <v>206</v>
      </c>
      <c r="D94" s="14" t="s">
        <v>15</v>
      </c>
      <c r="E94" s="14" t="s">
        <v>16</v>
      </c>
      <c r="F94" s="15">
        <v>42187</v>
      </c>
      <c r="G94" s="88">
        <v>0.78</v>
      </c>
      <c r="H94" s="15">
        <v>42355</v>
      </c>
      <c r="I94" s="88">
        <v>0.52800000000000002</v>
      </c>
      <c r="J94" s="15"/>
      <c r="K94" s="88"/>
      <c r="L94" s="15"/>
      <c r="M94" s="88"/>
      <c r="N94" s="89">
        <f t="shared" si="1"/>
        <v>1.3080000000000001</v>
      </c>
      <c r="O94" s="36"/>
    </row>
    <row r="95" spans="1:15" x14ac:dyDescent="0.25">
      <c r="A95" s="33"/>
      <c r="B95" s="37" t="s">
        <v>207</v>
      </c>
      <c r="C95" s="13" t="s">
        <v>208</v>
      </c>
      <c r="D95" s="14" t="s">
        <v>15</v>
      </c>
      <c r="E95" s="14" t="s">
        <v>16</v>
      </c>
      <c r="F95" s="15">
        <v>42006</v>
      </c>
      <c r="G95" s="88">
        <v>0.38</v>
      </c>
      <c r="H95" s="15">
        <v>42186</v>
      </c>
      <c r="I95" s="88">
        <v>0.38</v>
      </c>
      <c r="J95" s="15"/>
      <c r="K95" s="88"/>
      <c r="L95" s="15"/>
      <c r="M95" s="88"/>
      <c r="N95" s="89">
        <f t="shared" si="1"/>
        <v>0.76</v>
      </c>
      <c r="O95" s="36"/>
    </row>
    <row r="96" spans="1:15" x14ac:dyDescent="0.25">
      <c r="A96" s="33"/>
      <c r="B96" s="37" t="s">
        <v>209</v>
      </c>
      <c r="C96" s="13" t="s">
        <v>210</v>
      </c>
      <c r="D96" s="14" t="s">
        <v>15</v>
      </c>
      <c r="E96" s="14" t="s">
        <v>16</v>
      </c>
      <c r="F96" s="15">
        <v>42177</v>
      </c>
      <c r="G96" s="88">
        <v>0.14000000000000001</v>
      </c>
      <c r="H96" s="15"/>
      <c r="I96" s="88"/>
      <c r="J96" s="15"/>
      <c r="K96" s="88"/>
      <c r="L96" s="15"/>
      <c r="M96" s="88"/>
      <c r="N96" s="89">
        <f t="shared" si="1"/>
        <v>0.14000000000000001</v>
      </c>
      <c r="O96" s="36"/>
    </row>
    <row r="97" spans="2:14" x14ac:dyDescent="0.25">
      <c r="B97" s="12" t="s">
        <v>211</v>
      </c>
      <c r="C97" s="13" t="s">
        <v>212</v>
      </c>
      <c r="D97" s="14" t="s">
        <v>24</v>
      </c>
      <c r="E97" s="14" t="s">
        <v>16</v>
      </c>
      <c r="F97" s="15">
        <v>42124</v>
      </c>
      <c r="G97" s="88">
        <v>0.5</v>
      </c>
      <c r="H97" s="15">
        <v>42290</v>
      </c>
      <c r="I97" s="88">
        <v>0.5</v>
      </c>
      <c r="J97" s="15"/>
      <c r="K97" s="88"/>
      <c r="L97" s="15"/>
      <c r="M97" s="88"/>
      <c r="N97" s="89">
        <f t="shared" si="1"/>
        <v>1</v>
      </c>
    </row>
    <row r="98" spans="2:14" x14ac:dyDescent="0.25">
      <c r="B98" s="12" t="s">
        <v>213</v>
      </c>
      <c r="C98" s="13" t="s">
        <v>214</v>
      </c>
      <c r="D98" s="14" t="s">
        <v>15</v>
      </c>
      <c r="E98" s="14" t="s">
        <v>16</v>
      </c>
      <c r="F98" s="15">
        <v>42142</v>
      </c>
      <c r="G98" s="88">
        <v>0.56000000000000005</v>
      </c>
      <c r="H98" s="15">
        <v>42268</v>
      </c>
      <c r="I98" s="88">
        <v>0.4</v>
      </c>
      <c r="J98" s="15"/>
      <c r="K98" s="88"/>
      <c r="L98" s="15"/>
      <c r="M98" s="88"/>
      <c r="N98" s="89">
        <f t="shared" si="1"/>
        <v>0.96000000000000008</v>
      </c>
    </row>
    <row r="99" spans="2:14" x14ac:dyDescent="0.25">
      <c r="B99" s="12" t="s">
        <v>217</v>
      </c>
      <c r="C99" s="13" t="s">
        <v>218</v>
      </c>
      <c r="D99" s="14" t="s">
        <v>24</v>
      </c>
      <c r="E99" s="14" t="s">
        <v>16</v>
      </c>
      <c r="F99" s="15">
        <v>42143</v>
      </c>
      <c r="G99" s="88">
        <v>1.02</v>
      </c>
      <c r="H99" s="15"/>
      <c r="I99" s="88"/>
      <c r="J99" s="15"/>
      <c r="K99" s="88"/>
      <c r="L99" s="15"/>
      <c r="M99" s="88"/>
      <c r="N99" s="89">
        <f t="shared" si="1"/>
        <v>1.02</v>
      </c>
    </row>
    <row r="100" spans="2:14" x14ac:dyDescent="0.25">
      <c r="B100" s="12" t="s">
        <v>219</v>
      </c>
      <c r="C100" s="13" t="s">
        <v>220</v>
      </c>
      <c r="D100" s="14" t="s">
        <v>24</v>
      </c>
      <c r="E100" s="14" t="s">
        <v>16</v>
      </c>
      <c r="F100" s="15">
        <v>42324</v>
      </c>
      <c r="G100" s="88">
        <v>1.0900000000000001</v>
      </c>
      <c r="H100" s="15"/>
      <c r="I100" s="88"/>
      <c r="J100" s="15"/>
      <c r="K100" s="88"/>
      <c r="L100" s="15"/>
      <c r="M100" s="88"/>
      <c r="N100" s="89">
        <f t="shared" si="1"/>
        <v>1.0900000000000001</v>
      </c>
    </row>
    <row r="101" spans="2:14" x14ac:dyDescent="0.25">
      <c r="B101" s="12" t="s">
        <v>221</v>
      </c>
      <c r="C101" s="13" t="s">
        <v>222</v>
      </c>
      <c r="D101" s="14" t="s">
        <v>15</v>
      </c>
      <c r="E101" s="14" t="s">
        <v>56</v>
      </c>
      <c r="F101" s="15">
        <v>42006</v>
      </c>
      <c r="G101" s="88">
        <v>0.1225</v>
      </c>
      <c r="H101" s="15">
        <v>42180</v>
      </c>
      <c r="I101" s="88">
        <v>0.27</v>
      </c>
      <c r="J101" s="15"/>
      <c r="K101" s="88"/>
      <c r="L101" s="15"/>
      <c r="M101" s="88"/>
      <c r="N101" s="89">
        <f t="shared" si="1"/>
        <v>0.39250000000000002</v>
      </c>
    </row>
    <row r="102" spans="2:14" x14ac:dyDescent="0.25">
      <c r="B102" s="12" t="s">
        <v>225</v>
      </c>
      <c r="C102" s="13" t="s">
        <v>226</v>
      </c>
      <c r="D102" s="14" t="s">
        <v>15</v>
      </c>
      <c r="E102" s="14" t="s">
        <v>16</v>
      </c>
      <c r="F102" s="15">
        <v>42130</v>
      </c>
      <c r="G102" s="88">
        <v>0.30399999999999999</v>
      </c>
      <c r="H102" s="15">
        <v>42311</v>
      </c>
      <c r="I102" s="88">
        <v>0.39800000000000002</v>
      </c>
      <c r="J102" s="15"/>
      <c r="K102" s="88"/>
      <c r="L102" s="15"/>
      <c r="M102" s="88"/>
      <c r="N102" s="89">
        <f t="shared" si="1"/>
        <v>0.70199999999999996</v>
      </c>
    </row>
    <row r="103" spans="2:14" x14ac:dyDescent="0.25">
      <c r="B103" s="12" t="s">
        <v>231</v>
      </c>
      <c r="C103" s="13" t="s">
        <v>232</v>
      </c>
      <c r="D103" s="14" t="s">
        <v>15</v>
      </c>
      <c r="E103" s="14" t="s">
        <v>16</v>
      </c>
      <c r="F103" s="95" t="s">
        <v>660</v>
      </c>
      <c r="G103" s="96" t="s">
        <v>661</v>
      </c>
      <c r="H103" s="97"/>
      <c r="I103" s="98"/>
      <c r="J103" s="97"/>
      <c r="K103" s="98"/>
      <c r="L103" s="97"/>
      <c r="M103" s="98"/>
      <c r="N103" s="98"/>
    </row>
    <row r="104" spans="2:14" x14ac:dyDescent="0.25">
      <c r="B104" s="12" t="s">
        <v>233</v>
      </c>
      <c r="C104" s="13" t="s">
        <v>234</v>
      </c>
      <c r="D104" s="14" t="s">
        <v>15</v>
      </c>
      <c r="E104" s="14" t="s">
        <v>16</v>
      </c>
      <c r="F104" s="15"/>
      <c r="G104" s="88"/>
      <c r="H104" s="15"/>
      <c r="I104" s="88"/>
      <c r="J104" s="15"/>
      <c r="K104" s="88"/>
      <c r="L104" s="15"/>
      <c r="M104" s="88"/>
      <c r="N104" s="89">
        <f t="shared" si="1"/>
        <v>0</v>
      </c>
    </row>
    <row r="105" spans="2:14" x14ac:dyDescent="0.25">
      <c r="B105" s="12" t="s">
        <v>235</v>
      </c>
      <c r="C105" s="13" t="s">
        <v>236</v>
      </c>
      <c r="D105" s="14" t="s">
        <v>237</v>
      </c>
      <c r="E105" s="14" t="s">
        <v>16</v>
      </c>
      <c r="F105" s="15">
        <v>42132</v>
      </c>
      <c r="G105" s="88">
        <v>0.17280000000000001</v>
      </c>
      <c r="H105" s="15">
        <v>42269</v>
      </c>
      <c r="I105" s="88">
        <v>0.20735999999999999</v>
      </c>
      <c r="J105" s="15"/>
      <c r="K105" s="88"/>
      <c r="L105" s="15"/>
      <c r="M105" s="88"/>
      <c r="N105" s="89">
        <f t="shared" si="1"/>
        <v>0.38016</v>
      </c>
    </row>
    <row r="106" spans="2:14" x14ac:dyDescent="0.25">
      <c r="B106" s="12" t="s">
        <v>238</v>
      </c>
      <c r="C106" s="13" t="s">
        <v>239</v>
      </c>
      <c r="D106" s="14" t="s">
        <v>15</v>
      </c>
      <c r="E106" s="14" t="s">
        <v>16</v>
      </c>
      <c r="F106" s="15">
        <v>42012</v>
      </c>
      <c r="G106" s="88">
        <v>0.39700000000000002</v>
      </c>
      <c r="H106" s="15">
        <v>42186</v>
      </c>
      <c r="I106" s="88">
        <v>0.51100000000000001</v>
      </c>
      <c r="J106" s="15"/>
      <c r="K106" s="88"/>
      <c r="L106" s="15"/>
      <c r="M106" s="88"/>
      <c r="N106" s="89">
        <f t="shared" si="1"/>
        <v>0.90800000000000003</v>
      </c>
    </row>
    <row r="107" spans="2:14" x14ac:dyDescent="0.25">
      <c r="B107" s="12" t="s">
        <v>242</v>
      </c>
      <c r="C107" s="13" t="s">
        <v>243</v>
      </c>
      <c r="D107" s="14" t="s">
        <v>15</v>
      </c>
      <c r="E107" s="14" t="s">
        <v>21</v>
      </c>
      <c r="F107" s="15">
        <v>42101</v>
      </c>
      <c r="G107" s="88">
        <v>8.3000000000000007</v>
      </c>
      <c r="H107" s="15"/>
      <c r="I107" s="88"/>
      <c r="J107" s="15"/>
      <c r="K107" s="88"/>
      <c r="L107" s="15"/>
      <c r="M107" s="88"/>
      <c r="N107" s="89">
        <f t="shared" si="1"/>
        <v>8.3000000000000007</v>
      </c>
    </row>
    <row r="108" spans="2:14" x14ac:dyDescent="0.25">
      <c r="B108" s="12" t="s">
        <v>244</v>
      </c>
      <c r="C108" s="13" t="s">
        <v>245</v>
      </c>
      <c r="D108" s="14" t="s">
        <v>15</v>
      </c>
      <c r="E108" s="14" t="s">
        <v>16</v>
      </c>
      <c r="F108" s="15">
        <v>42150</v>
      </c>
      <c r="G108" s="88">
        <v>0.42</v>
      </c>
      <c r="H108" s="15"/>
      <c r="I108" s="88"/>
      <c r="J108" s="15"/>
      <c r="K108" s="88"/>
      <c r="L108" s="15"/>
      <c r="M108" s="88"/>
      <c r="N108" s="89">
        <f t="shared" si="1"/>
        <v>0.42</v>
      </c>
    </row>
    <row r="109" spans="2:14" x14ac:dyDescent="0.25">
      <c r="B109" s="12" t="s">
        <v>248</v>
      </c>
      <c r="C109" s="13" t="s">
        <v>249</v>
      </c>
      <c r="D109" s="14" t="s">
        <v>15</v>
      </c>
      <c r="E109" s="14" t="s">
        <v>21</v>
      </c>
      <c r="F109" s="15">
        <v>42086</v>
      </c>
      <c r="G109" s="88">
        <v>50</v>
      </c>
      <c r="H109" s="15"/>
      <c r="I109" s="88"/>
      <c r="J109" s="15"/>
      <c r="K109" s="88"/>
      <c r="L109" s="15"/>
      <c r="M109" s="88"/>
      <c r="N109" s="89">
        <f t="shared" si="1"/>
        <v>50</v>
      </c>
    </row>
    <row r="110" spans="2:14" x14ac:dyDescent="0.25">
      <c r="B110" s="12" t="s">
        <v>250</v>
      </c>
      <c r="C110" s="13" t="s">
        <v>251</v>
      </c>
      <c r="D110" s="14" t="s">
        <v>15</v>
      </c>
      <c r="E110" s="14" t="s">
        <v>77</v>
      </c>
      <c r="F110" s="15">
        <v>42054</v>
      </c>
      <c r="G110" s="88">
        <v>23</v>
      </c>
      <c r="H110" s="15">
        <v>42138</v>
      </c>
      <c r="I110" s="88">
        <v>19</v>
      </c>
      <c r="J110" s="15">
        <v>42229</v>
      </c>
      <c r="K110" s="88">
        <v>19</v>
      </c>
      <c r="L110" s="15">
        <v>42320</v>
      </c>
      <c r="M110" s="88">
        <v>19</v>
      </c>
      <c r="N110" s="89">
        <f t="shared" si="1"/>
        <v>80</v>
      </c>
    </row>
    <row r="111" spans="2:14" x14ac:dyDescent="0.25">
      <c r="B111" s="12" t="s">
        <v>252</v>
      </c>
      <c r="C111" s="13" t="s">
        <v>253</v>
      </c>
      <c r="D111" s="14" t="s">
        <v>15</v>
      </c>
      <c r="E111" s="14" t="s">
        <v>56</v>
      </c>
      <c r="F111" s="95" t="s">
        <v>660</v>
      </c>
      <c r="G111" s="96" t="s">
        <v>661</v>
      </c>
      <c r="H111" s="97"/>
      <c r="I111" s="98"/>
      <c r="J111" s="97"/>
      <c r="K111" s="98"/>
      <c r="L111" s="97"/>
      <c r="M111" s="98"/>
      <c r="N111" s="98"/>
    </row>
    <row r="112" spans="2:14" x14ac:dyDescent="0.25">
      <c r="B112" s="12" t="s">
        <v>254</v>
      </c>
      <c r="C112" s="13" t="s">
        <v>255</v>
      </c>
      <c r="D112" s="14" t="s">
        <v>27</v>
      </c>
      <c r="E112" s="14" t="s">
        <v>16</v>
      </c>
      <c r="F112" s="15">
        <v>42129</v>
      </c>
      <c r="G112" s="88">
        <v>2.79</v>
      </c>
      <c r="H112" s="15"/>
      <c r="I112" s="88"/>
      <c r="J112" s="15"/>
      <c r="K112" s="88"/>
      <c r="L112" s="15"/>
      <c r="M112" s="88"/>
      <c r="N112" s="89">
        <f t="shared" si="1"/>
        <v>2.79</v>
      </c>
    </row>
    <row r="113" spans="1:15" x14ac:dyDescent="0.25">
      <c r="B113" s="12" t="s">
        <v>256</v>
      </c>
      <c r="C113" s="13" t="s">
        <v>257</v>
      </c>
      <c r="D113" s="14" t="s">
        <v>15</v>
      </c>
      <c r="E113" s="14" t="s">
        <v>16</v>
      </c>
      <c r="F113" s="15">
        <v>42121</v>
      </c>
      <c r="G113" s="88">
        <v>0.74</v>
      </c>
      <c r="H113" s="15">
        <v>42221</v>
      </c>
      <c r="I113" s="88">
        <v>0.44</v>
      </c>
      <c r="J113" s="15"/>
      <c r="K113" s="88"/>
      <c r="L113" s="15"/>
      <c r="M113" s="88"/>
      <c r="N113" s="89">
        <f t="shared" si="1"/>
        <v>1.18</v>
      </c>
    </row>
    <row r="114" spans="1:15" x14ac:dyDescent="0.25">
      <c r="B114" s="12" t="s">
        <v>258</v>
      </c>
      <c r="C114" s="13" t="s">
        <v>259</v>
      </c>
      <c r="D114" s="14" t="s">
        <v>15</v>
      </c>
      <c r="E114" s="14" t="s">
        <v>16</v>
      </c>
      <c r="F114" s="15">
        <v>42108</v>
      </c>
      <c r="G114" s="88">
        <v>1.31</v>
      </c>
      <c r="H114" s="15"/>
      <c r="I114" s="88"/>
      <c r="J114" s="15"/>
      <c r="K114" s="88"/>
      <c r="L114" s="15"/>
      <c r="M114" s="88"/>
      <c r="N114" s="89">
        <f t="shared" si="1"/>
        <v>1.31</v>
      </c>
    </row>
    <row r="115" spans="1:15" x14ac:dyDescent="0.25">
      <c r="B115" s="12" t="s">
        <v>264</v>
      </c>
      <c r="C115" s="13" t="s">
        <v>265</v>
      </c>
      <c r="D115" s="14" t="s">
        <v>15</v>
      </c>
      <c r="E115" s="14" t="s">
        <v>56</v>
      </c>
      <c r="F115" s="15">
        <v>42068</v>
      </c>
      <c r="G115" s="88">
        <v>0.2</v>
      </c>
      <c r="H115" s="15">
        <v>42145</v>
      </c>
      <c r="I115" s="88">
        <v>0.1</v>
      </c>
      <c r="J115" s="15">
        <v>42229</v>
      </c>
      <c r="K115" s="88">
        <v>0.1</v>
      </c>
      <c r="L115" s="15">
        <v>42299</v>
      </c>
      <c r="M115" s="88">
        <v>0.11111</v>
      </c>
      <c r="N115" s="89">
        <f t="shared" si="1"/>
        <v>0.51111000000000006</v>
      </c>
    </row>
    <row r="116" spans="1:15" x14ac:dyDescent="0.25">
      <c r="B116" s="12" t="s">
        <v>266</v>
      </c>
      <c r="C116" s="13" t="s">
        <v>267</v>
      </c>
      <c r="D116" s="14" t="s">
        <v>15</v>
      </c>
      <c r="E116" s="14" t="s">
        <v>16</v>
      </c>
      <c r="F116" s="15">
        <v>42188</v>
      </c>
      <c r="G116" s="88">
        <v>0.11700000000000001</v>
      </c>
      <c r="H116" s="15"/>
      <c r="I116" s="88"/>
      <c r="J116" s="15"/>
      <c r="K116" s="88"/>
      <c r="L116" s="15"/>
      <c r="M116" s="88"/>
      <c r="N116" s="89">
        <f t="shared" si="1"/>
        <v>0.11700000000000001</v>
      </c>
    </row>
    <row r="117" spans="1:15" x14ac:dyDescent="0.25">
      <c r="B117" s="12" t="s">
        <v>662</v>
      </c>
      <c r="C117" s="13" t="s">
        <v>269</v>
      </c>
      <c r="D117" s="14" t="s">
        <v>15</v>
      </c>
      <c r="E117" s="14" t="s">
        <v>77</v>
      </c>
      <c r="F117" s="15">
        <v>42019</v>
      </c>
      <c r="G117" s="88">
        <v>89.3</v>
      </c>
      <c r="H117" s="15">
        <v>42152</v>
      </c>
      <c r="I117" s="88">
        <v>21.4</v>
      </c>
      <c r="J117" s="15">
        <v>42243</v>
      </c>
      <c r="K117" s="88">
        <v>21.4</v>
      </c>
      <c r="L117" s="15">
        <v>42327</v>
      </c>
      <c r="M117" s="88">
        <v>49.1</v>
      </c>
      <c r="N117" s="89">
        <f t="shared" si="1"/>
        <v>181.2</v>
      </c>
    </row>
    <row r="118" spans="1:15" x14ac:dyDescent="0.25">
      <c r="B118" s="12" t="s">
        <v>270</v>
      </c>
      <c r="C118" s="13" t="s">
        <v>271</v>
      </c>
      <c r="D118" s="14" t="s">
        <v>15</v>
      </c>
      <c r="E118" s="14" t="s">
        <v>16</v>
      </c>
      <c r="F118" s="15">
        <v>42128</v>
      </c>
      <c r="G118" s="94">
        <v>0.2591</v>
      </c>
      <c r="H118" s="15">
        <v>42311</v>
      </c>
      <c r="I118" s="94">
        <v>0.14149999999999999</v>
      </c>
      <c r="J118" s="15"/>
      <c r="K118" s="88"/>
      <c r="L118" s="15"/>
      <c r="M118" s="88"/>
      <c r="N118" s="89">
        <f t="shared" si="1"/>
        <v>0.40059999999999996</v>
      </c>
    </row>
    <row r="119" spans="1:15" x14ac:dyDescent="0.25">
      <c r="B119" s="12" t="s">
        <v>273</v>
      </c>
      <c r="C119" s="13" t="s">
        <v>274</v>
      </c>
      <c r="D119" s="14" t="s">
        <v>15</v>
      </c>
      <c r="E119" s="14" t="s">
        <v>16</v>
      </c>
      <c r="F119" s="15">
        <v>42137</v>
      </c>
      <c r="G119" s="88">
        <v>0.12</v>
      </c>
      <c r="H119" s="15">
        <v>42223</v>
      </c>
      <c r="I119" s="88">
        <v>0.24</v>
      </c>
      <c r="J119" s="15"/>
      <c r="K119" s="88"/>
      <c r="L119" s="15"/>
      <c r="M119" s="88"/>
      <c r="N119" s="89">
        <f t="shared" si="1"/>
        <v>0.36</v>
      </c>
    </row>
    <row r="120" spans="1:15" x14ac:dyDescent="0.25">
      <c r="B120" s="12" t="s">
        <v>276</v>
      </c>
      <c r="C120" s="13" t="s">
        <v>277</v>
      </c>
      <c r="D120" s="14" t="s">
        <v>15</v>
      </c>
      <c r="E120" s="14" t="s">
        <v>16</v>
      </c>
      <c r="F120" s="15">
        <v>42142</v>
      </c>
      <c r="G120" s="88">
        <v>7.0000000000000007E-2</v>
      </c>
      <c r="H120" s="15"/>
      <c r="I120" s="88"/>
      <c r="J120" s="15"/>
      <c r="K120" s="88"/>
      <c r="L120" s="15"/>
      <c r="M120" s="88"/>
      <c r="N120" s="89">
        <f t="shared" si="1"/>
        <v>7.0000000000000007E-2</v>
      </c>
    </row>
    <row r="121" spans="1:15" x14ac:dyDescent="0.25">
      <c r="B121" s="12" t="s">
        <v>284</v>
      </c>
      <c r="C121" s="13" t="s">
        <v>285</v>
      </c>
      <c r="D121" s="14" t="s">
        <v>15</v>
      </c>
      <c r="E121" s="14" t="s">
        <v>21</v>
      </c>
      <c r="F121" s="15">
        <v>42111</v>
      </c>
      <c r="G121" s="88">
        <v>1</v>
      </c>
      <c r="H121" s="15"/>
      <c r="I121" s="88"/>
      <c r="J121" s="15"/>
      <c r="K121" s="88"/>
      <c r="L121" s="15"/>
      <c r="M121" s="88"/>
      <c r="N121" s="89">
        <f t="shared" si="1"/>
        <v>1</v>
      </c>
    </row>
    <row r="122" spans="1:15" x14ac:dyDescent="0.25">
      <c r="B122" s="12" t="s">
        <v>286</v>
      </c>
      <c r="C122" s="13" t="s">
        <v>287</v>
      </c>
      <c r="D122" s="14" t="s">
        <v>15</v>
      </c>
      <c r="E122" s="14" t="s">
        <v>16</v>
      </c>
      <c r="F122" s="15">
        <v>42137</v>
      </c>
      <c r="G122" s="88">
        <v>0.9</v>
      </c>
      <c r="H122" s="15"/>
      <c r="I122" s="88"/>
      <c r="J122" s="15"/>
      <c r="K122" s="88"/>
      <c r="L122" s="15"/>
      <c r="M122" s="88"/>
      <c r="N122" s="89">
        <f t="shared" si="1"/>
        <v>0.9</v>
      </c>
    </row>
    <row r="123" spans="1:15" x14ac:dyDescent="0.25">
      <c r="A123" s="33"/>
      <c r="B123" s="37" t="s">
        <v>288</v>
      </c>
      <c r="C123" s="13" t="s">
        <v>289</v>
      </c>
      <c r="D123" s="14" t="s">
        <v>27</v>
      </c>
      <c r="E123" s="14" t="s">
        <v>16</v>
      </c>
      <c r="F123" s="15">
        <v>42135</v>
      </c>
      <c r="G123" s="88">
        <v>2</v>
      </c>
      <c r="H123" s="15"/>
      <c r="I123" s="88"/>
      <c r="J123" s="15"/>
      <c r="K123" s="88"/>
      <c r="L123" s="15"/>
      <c r="M123" s="88"/>
      <c r="N123" s="89">
        <f t="shared" si="1"/>
        <v>2</v>
      </c>
      <c r="O123" s="36"/>
    </row>
    <row r="124" spans="1:15" x14ac:dyDescent="0.25">
      <c r="A124" s="33"/>
      <c r="B124" s="37" t="s">
        <v>290</v>
      </c>
      <c r="C124" s="13" t="s">
        <v>291</v>
      </c>
      <c r="D124" s="14" t="s">
        <v>24</v>
      </c>
      <c r="E124" s="14" t="s">
        <v>16</v>
      </c>
      <c r="F124" s="15">
        <v>42026</v>
      </c>
      <c r="G124" s="88">
        <v>1.5</v>
      </c>
      <c r="H124" s="15">
        <v>42122</v>
      </c>
      <c r="I124" s="88">
        <v>2.5</v>
      </c>
      <c r="J124" s="15"/>
      <c r="K124" s="88"/>
      <c r="L124" s="15"/>
      <c r="M124" s="88"/>
      <c r="N124" s="89">
        <f t="shared" si="1"/>
        <v>4</v>
      </c>
      <c r="O124" s="36"/>
    </row>
    <row r="125" spans="1:15" x14ac:dyDescent="0.25">
      <c r="A125" s="33"/>
      <c r="B125" s="37" t="s">
        <v>296</v>
      </c>
      <c r="C125" s="13" t="s">
        <v>297</v>
      </c>
      <c r="D125" s="14" t="s">
        <v>15</v>
      </c>
      <c r="E125" s="14" t="s">
        <v>16</v>
      </c>
      <c r="F125" s="15">
        <v>42111</v>
      </c>
      <c r="G125" s="88">
        <v>0.05</v>
      </c>
      <c r="H125" s="15">
        <v>42216</v>
      </c>
      <c r="I125" s="99">
        <v>3.4000000000000002E-2</v>
      </c>
      <c r="J125" s="15">
        <v>42262</v>
      </c>
      <c r="K125" s="88">
        <v>0.03</v>
      </c>
      <c r="L125" s="15"/>
      <c r="M125" s="88"/>
      <c r="N125" s="89">
        <f t="shared" si="1"/>
        <v>0.114</v>
      </c>
      <c r="O125" s="36"/>
    </row>
    <row r="126" spans="1:15" x14ac:dyDescent="0.25">
      <c r="B126" s="12" t="s">
        <v>298</v>
      </c>
      <c r="C126" s="13" t="s">
        <v>299</v>
      </c>
      <c r="D126" s="14" t="s">
        <v>15</v>
      </c>
      <c r="E126" s="14" t="s">
        <v>21</v>
      </c>
      <c r="F126" s="15">
        <v>42109</v>
      </c>
      <c r="G126" s="94">
        <v>1.3650013700000001</v>
      </c>
      <c r="H126" s="15"/>
      <c r="I126" s="88"/>
      <c r="J126" s="15"/>
      <c r="K126" s="88"/>
      <c r="L126" s="15"/>
      <c r="M126" s="88"/>
      <c r="N126" s="89">
        <f>G126+I126+K126+M126</f>
        <v>1.3650013700000001</v>
      </c>
    </row>
    <row r="127" spans="1:15" x14ac:dyDescent="0.25">
      <c r="A127" s="33"/>
      <c r="B127" s="37" t="s">
        <v>300</v>
      </c>
      <c r="C127" s="13" t="s">
        <v>301</v>
      </c>
      <c r="D127" s="14" t="s">
        <v>24</v>
      </c>
      <c r="E127" s="14" t="s">
        <v>16</v>
      </c>
      <c r="F127" s="15">
        <v>42132</v>
      </c>
      <c r="G127" s="88">
        <v>1.3</v>
      </c>
      <c r="H127" s="15"/>
      <c r="I127" s="88"/>
      <c r="J127" s="15"/>
      <c r="K127" s="88"/>
      <c r="L127" s="15"/>
      <c r="M127" s="88"/>
      <c r="N127" s="89">
        <f t="shared" si="1"/>
        <v>1.3</v>
      </c>
      <c r="O127" s="36"/>
    </row>
    <row r="128" spans="1:15" x14ac:dyDescent="0.25">
      <c r="B128" s="12" t="s">
        <v>302</v>
      </c>
      <c r="C128" s="13" t="s">
        <v>303</v>
      </c>
      <c r="D128" s="14" t="s">
        <v>15</v>
      </c>
      <c r="E128" s="14" t="s">
        <v>77</v>
      </c>
      <c r="F128" s="15">
        <v>42117</v>
      </c>
      <c r="G128" s="88">
        <v>8.35</v>
      </c>
      <c r="H128" s="15">
        <v>42229</v>
      </c>
      <c r="I128" s="88">
        <v>3.45</v>
      </c>
      <c r="J128" s="15"/>
      <c r="K128" s="88"/>
      <c r="L128" s="15"/>
      <c r="M128" s="88"/>
      <c r="N128" s="89">
        <f t="shared" si="1"/>
        <v>11.8</v>
      </c>
    </row>
    <row r="129" spans="2:14" x14ac:dyDescent="0.25">
      <c r="B129" s="12" t="s">
        <v>304</v>
      </c>
      <c r="C129" s="13" t="s">
        <v>305</v>
      </c>
      <c r="D129" s="14" t="s">
        <v>24</v>
      </c>
      <c r="E129" s="14" t="s">
        <v>16</v>
      </c>
      <c r="F129" s="15">
        <v>42157</v>
      </c>
      <c r="G129" s="88">
        <v>1.1000000000000001</v>
      </c>
      <c r="H129" s="15"/>
      <c r="I129" s="88"/>
      <c r="J129" s="15"/>
      <c r="K129" s="88"/>
      <c r="L129" s="15"/>
      <c r="M129" s="88"/>
      <c r="N129" s="89">
        <f t="shared" si="1"/>
        <v>1.1000000000000001</v>
      </c>
    </row>
    <row r="130" spans="2:14" x14ac:dyDescent="0.25">
      <c r="B130" s="12" t="s">
        <v>306</v>
      </c>
      <c r="C130" s="13" t="s">
        <v>307</v>
      </c>
      <c r="D130" s="14" t="s">
        <v>15</v>
      </c>
      <c r="E130" s="14" t="s">
        <v>16</v>
      </c>
      <c r="F130" s="15">
        <v>42137</v>
      </c>
      <c r="G130" s="88">
        <v>3.15</v>
      </c>
      <c r="H130" s="15"/>
      <c r="I130" s="88"/>
      <c r="J130" s="15"/>
      <c r="K130" s="88"/>
      <c r="L130" s="15"/>
      <c r="M130" s="88"/>
      <c r="N130" s="89">
        <f t="shared" si="1"/>
        <v>3.15</v>
      </c>
    </row>
    <row r="131" spans="2:14" x14ac:dyDescent="0.25">
      <c r="B131" s="12" t="s">
        <v>308</v>
      </c>
      <c r="C131" s="13" t="s">
        <v>309</v>
      </c>
      <c r="D131" s="14" t="s">
        <v>15</v>
      </c>
      <c r="E131" s="14" t="s">
        <v>77</v>
      </c>
      <c r="F131" s="15">
        <v>42096</v>
      </c>
      <c r="G131" s="88">
        <v>0.75</v>
      </c>
      <c r="H131" s="15">
        <v>42229</v>
      </c>
      <c r="I131" s="88">
        <v>0.75</v>
      </c>
      <c r="J131" s="15"/>
      <c r="K131" s="88"/>
      <c r="L131" s="15"/>
      <c r="M131" s="88"/>
      <c r="N131" s="89">
        <f t="shared" si="1"/>
        <v>1.5</v>
      </c>
    </row>
    <row r="132" spans="2:14" x14ac:dyDescent="0.25">
      <c r="B132" s="12" t="s">
        <v>310</v>
      </c>
      <c r="C132" s="13" t="s">
        <v>311</v>
      </c>
      <c r="D132" s="14" t="s">
        <v>24</v>
      </c>
      <c r="E132" s="14" t="s">
        <v>16</v>
      </c>
      <c r="F132" s="15">
        <v>42129</v>
      </c>
      <c r="G132" s="88">
        <v>2.7</v>
      </c>
      <c r="H132" s="15"/>
      <c r="I132" s="88"/>
      <c r="J132" s="15"/>
      <c r="K132" s="88"/>
      <c r="L132" s="15"/>
      <c r="M132" s="88"/>
      <c r="N132" s="89">
        <f t="shared" si="1"/>
        <v>2.7</v>
      </c>
    </row>
    <row r="133" spans="2:14" x14ac:dyDescent="0.25">
      <c r="B133" s="12" t="s">
        <v>312</v>
      </c>
      <c r="C133" s="13" t="s">
        <v>313</v>
      </c>
      <c r="D133" s="14" t="s">
        <v>24</v>
      </c>
      <c r="E133" s="14" t="s">
        <v>16</v>
      </c>
      <c r="F133" s="15">
        <v>42115</v>
      </c>
      <c r="G133" s="88">
        <v>1.95</v>
      </c>
      <c r="H133" s="15">
        <v>42339</v>
      </c>
      <c r="I133" s="88">
        <v>1.35</v>
      </c>
      <c r="J133" s="15"/>
      <c r="K133" s="88"/>
      <c r="L133" s="15"/>
      <c r="M133" s="88"/>
      <c r="N133" s="89">
        <f t="shared" si="1"/>
        <v>3.3</v>
      </c>
    </row>
    <row r="134" spans="2:14" x14ac:dyDescent="0.25">
      <c r="B134" s="12" t="s">
        <v>314</v>
      </c>
      <c r="C134" s="13" t="s">
        <v>315</v>
      </c>
      <c r="D134" s="14" t="s">
        <v>15</v>
      </c>
      <c r="E134" s="14" t="s">
        <v>16</v>
      </c>
      <c r="F134" s="15">
        <v>42172</v>
      </c>
      <c r="G134" s="88">
        <v>0.08</v>
      </c>
      <c r="H134" s="15">
        <v>42353</v>
      </c>
      <c r="I134" s="88">
        <v>0.06</v>
      </c>
      <c r="J134" s="15"/>
      <c r="K134" s="88"/>
      <c r="L134" s="15"/>
      <c r="M134" s="88"/>
      <c r="N134" s="89">
        <f t="shared" si="1"/>
        <v>0.14000000000000001</v>
      </c>
    </row>
    <row r="135" spans="2:14" x14ac:dyDescent="0.25">
      <c r="B135" s="12" t="s">
        <v>316</v>
      </c>
      <c r="C135" s="13" t="s">
        <v>317</v>
      </c>
      <c r="D135" s="14" t="s">
        <v>15</v>
      </c>
      <c r="E135" s="14" t="s">
        <v>16</v>
      </c>
      <c r="F135" s="15">
        <v>42142</v>
      </c>
      <c r="G135" s="88">
        <v>0.02</v>
      </c>
      <c r="H135" s="15"/>
      <c r="I135" s="88"/>
      <c r="J135" s="15"/>
      <c r="K135" s="88"/>
      <c r="L135" s="15"/>
      <c r="M135" s="88"/>
      <c r="N135" s="89">
        <f t="shared" si="1"/>
        <v>0.02</v>
      </c>
    </row>
    <row r="136" spans="2:14" x14ac:dyDescent="0.25">
      <c r="B136" s="12" t="s">
        <v>318</v>
      </c>
      <c r="C136" s="13" t="s">
        <v>319</v>
      </c>
      <c r="D136" s="14" t="s">
        <v>15</v>
      </c>
      <c r="E136" s="14" t="s">
        <v>16</v>
      </c>
      <c r="F136" s="15">
        <v>42128</v>
      </c>
      <c r="G136" s="100">
        <v>0.10072</v>
      </c>
      <c r="H136" s="15"/>
      <c r="I136" s="88"/>
      <c r="J136" s="15"/>
      <c r="K136" s="88"/>
      <c r="L136" s="15"/>
      <c r="M136" s="88"/>
      <c r="N136" s="89">
        <f t="shared" si="1"/>
        <v>0.10072</v>
      </c>
    </row>
    <row r="137" spans="2:14" x14ac:dyDescent="0.25">
      <c r="B137" s="12" t="s">
        <v>320</v>
      </c>
      <c r="C137" s="13" t="s">
        <v>321</v>
      </c>
      <c r="D137" s="14" t="s">
        <v>15</v>
      </c>
      <c r="E137" s="14" t="s">
        <v>16</v>
      </c>
      <c r="F137" s="15">
        <v>42331</v>
      </c>
      <c r="G137" s="88">
        <v>0.25</v>
      </c>
      <c r="H137" s="15"/>
      <c r="I137" s="88"/>
      <c r="J137" s="15"/>
      <c r="K137" s="88"/>
      <c r="L137" s="15"/>
      <c r="M137" s="88"/>
      <c r="N137" s="89">
        <f t="shared" si="1"/>
        <v>0.25</v>
      </c>
    </row>
    <row r="138" spans="2:14" x14ac:dyDescent="0.25">
      <c r="B138" s="12" t="s">
        <v>663</v>
      </c>
      <c r="C138" s="13" t="s">
        <v>85</v>
      </c>
      <c r="D138" s="14" t="s">
        <v>15</v>
      </c>
      <c r="E138" s="14" t="s">
        <v>16</v>
      </c>
      <c r="F138" s="15">
        <v>42114</v>
      </c>
      <c r="G138" s="88">
        <v>0.12</v>
      </c>
      <c r="H138" s="15">
        <v>42331</v>
      </c>
      <c r="I138" s="88">
        <v>0.16</v>
      </c>
      <c r="J138" s="15"/>
      <c r="K138" s="88"/>
      <c r="L138" s="15"/>
      <c r="M138" s="88"/>
      <c r="N138" s="89">
        <f t="shared" si="1"/>
        <v>0.28000000000000003</v>
      </c>
    </row>
    <row r="139" spans="2:14" x14ac:dyDescent="0.25">
      <c r="B139" s="12" t="s">
        <v>322</v>
      </c>
      <c r="C139" s="13" t="s">
        <v>323</v>
      </c>
      <c r="D139" s="14" t="s">
        <v>15</v>
      </c>
      <c r="E139" s="14" t="s">
        <v>16</v>
      </c>
      <c r="F139" s="15">
        <v>42114</v>
      </c>
      <c r="G139" s="88">
        <v>1</v>
      </c>
      <c r="H139" s="15"/>
      <c r="I139" s="88"/>
      <c r="J139" s="15"/>
      <c r="K139" s="88"/>
      <c r="L139" s="15"/>
      <c r="M139" s="88"/>
      <c r="N139" s="89">
        <f t="shared" si="1"/>
        <v>1</v>
      </c>
    </row>
    <row r="140" spans="2:14" x14ac:dyDescent="0.25">
      <c r="B140" s="12" t="s">
        <v>329</v>
      </c>
      <c r="C140" s="13" t="s">
        <v>330</v>
      </c>
      <c r="D140" s="14" t="s">
        <v>24</v>
      </c>
      <c r="E140" s="14" t="s">
        <v>16</v>
      </c>
      <c r="F140" s="15">
        <v>42150</v>
      </c>
      <c r="G140" s="88">
        <v>2.5</v>
      </c>
      <c r="H140" s="15"/>
      <c r="I140" s="88"/>
      <c r="J140" s="15"/>
      <c r="K140" s="88"/>
      <c r="L140" s="15"/>
      <c r="M140" s="88"/>
      <c r="N140" s="89">
        <f t="shared" si="1"/>
        <v>2.5</v>
      </c>
    </row>
    <row r="141" spans="2:14" x14ac:dyDescent="0.25">
      <c r="B141" s="12" t="s">
        <v>333</v>
      </c>
      <c r="C141" s="13" t="s">
        <v>334</v>
      </c>
      <c r="D141" s="14" t="s">
        <v>15</v>
      </c>
      <c r="E141" s="14" t="s">
        <v>16</v>
      </c>
      <c r="F141" s="15">
        <v>42118</v>
      </c>
      <c r="G141" s="88">
        <v>7.75</v>
      </c>
      <c r="H141" s="15"/>
      <c r="I141" s="88"/>
      <c r="J141" s="15"/>
      <c r="K141" s="88"/>
      <c r="L141" s="15"/>
      <c r="M141" s="88"/>
      <c r="N141" s="89">
        <f t="shared" si="1"/>
        <v>7.75</v>
      </c>
    </row>
    <row r="142" spans="2:14" x14ac:dyDescent="0.25">
      <c r="B142" s="12" t="s">
        <v>335</v>
      </c>
      <c r="C142" s="13" t="s">
        <v>336</v>
      </c>
      <c r="D142" s="14" t="s">
        <v>15</v>
      </c>
      <c r="E142" s="14" t="s">
        <v>77</v>
      </c>
      <c r="F142" s="15">
        <v>42159</v>
      </c>
      <c r="G142" s="88">
        <v>28.16</v>
      </c>
      <c r="H142" s="15">
        <v>42334</v>
      </c>
      <c r="I142" s="88">
        <v>15</v>
      </c>
      <c r="J142" s="15"/>
      <c r="K142" s="88"/>
      <c r="L142" s="15"/>
      <c r="M142" s="88"/>
      <c r="N142" s="89">
        <f t="shared" si="1"/>
        <v>43.16</v>
      </c>
    </row>
    <row r="143" spans="2:14" x14ac:dyDescent="0.25">
      <c r="B143" s="12" t="s">
        <v>337</v>
      </c>
      <c r="C143" s="13" t="s">
        <v>338</v>
      </c>
      <c r="D143" s="14" t="s">
        <v>24</v>
      </c>
      <c r="E143" s="14" t="s">
        <v>16</v>
      </c>
      <c r="F143" s="15">
        <v>42146</v>
      </c>
      <c r="G143" s="100">
        <v>0.19602600000000001</v>
      </c>
      <c r="H143" s="15"/>
      <c r="I143" s="88"/>
      <c r="J143" s="15"/>
      <c r="K143" s="88"/>
      <c r="L143" s="15"/>
      <c r="M143" s="88"/>
      <c r="N143" s="89">
        <f t="shared" ref="N143:N207" si="2">G143+I143+K143+M143</f>
        <v>0.19602600000000001</v>
      </c>
    </row>
    <row r="144" spans="2:14" x14ac:dyDescent="0.25">
      <c r="B144" s="12" t="s">
        <v>341</v>
      </c>
      <c r="C144" s="13" t="s">
        <v>342</v>
      </c>
      <c r="D144" s="14" t="s">
        <v>15</v>
      </c>
      <c r="E144" s="14" t="s">
        <v>21</v>
      </c>
      <c r="F144" s="15">
        <v>42114</v>
      </c>
      <c r="G144" s="88">
        <v>2.2000000000000002</v>
      </c>
      <c r="H144" s="15"/>
      <c r="I144" s="88"/>
      <c r="J144" s="15"/>
      <c r="K144" s="88"/>
      <c r="L144" s="15"/>
      <c r="M144" s="88"/>
      <c r="N144" s="89">
        <f t="shared" si="2"/>
        <v>2.2000000000000002</v>
      </c>
    </row>
    <row r="145" spans="1:15" x14ac:dyDescent="0.25">
      <c r="B145" s="12" t="s">
        <v>343</v>
      </c>
      <c r="C145" s="13" t="s">
        <v>344</v>
      </c>
      <c r="D145" s="14" t="s">
        <v>15</v>
      </c>
      <c r="E145" s="14" t="s">
        <v>16</v>
      </c>
      <c r="F145" s="15">
        <v>42157</v>
      </c>
      <c r="G145" s="88">
        <v>0.56999999999999995</v>
      </c>
      <c r="H145" s="15">
        <v>42226</v>
      </c>
      <c r="I145" s="88">
        <v>0.46</v>
      </c>
      <c r="J145" s="15"/>
      <c r="K145" s="88"/>
      <c r="L145" s="15"/>
      <c r="M145" s="88"/>
      <c r="N145" s="89">
        <f t="shared" si="2"/>
        <v>1.03</v>
      </c>
    </row>
    <row r="146" spans="1:15" x14ac:dyDescent="0.25">
      <c r="B146" s="12" t="s">
        <v>349</v>
      </c>
      <c r="C146" s="13" t="s">
        <v>350</v>
      </c>
      <c r="D146" s="14" t="s">
        <v>15</v>
      </c>
      <c r="E146" s="14" t="s">
        <v>21</v>
      </c>
      <c r="F146" s="15">
        <v>42066</v>
      </c>
      <c r="G146" s="88">
        <v>2.6</v>
      </c>
      <c r="H146" s="15"/>
      <c r="I146" s="88"/>
      <c r="J146" s="15"/>
      <c r="K146" s="88"/>
      <c r="L146" s="15"/>
      <c r="M146" s="88"/>
      <c r="N146" s="89">
        <f t="shared" si="2"/>
        <v>2.6</v>
      </c>
    </row>
    <row r="147" spans="1:15" x14ac:dyDescent="0.25">
      <c r="B147" s="12" t="s">
        <v>351</v>
      </c>
      <c r="C147" s="13" t="s">
        <v>352</v>
      </c>
      <c r="D147" s="14" t="s">
        <v>15</v>
      </c>
      <c r="E147" s="14" t="s">
        <v>77</v>
      </c>
      <c r="F147" s="15">
        <v>42117</v>
      </c>
      <c r="G147" s="88">
        <v>6.25</v>
      </c>
      <c r="H147" s="15">
        <v>42271</v>
      </c>
      <c r="I147" s="88">
        <v>2.944</v>
      </c>
      <c r="J147" s="15"/>
      <c r="K147" s="88"/>
      <c r="L147" s="15"/>
      <c r="M147" s="88"/>
      <c r="N147" s="89">
        <f t="shared" si="2"/>
        <v>9.1939999999999991</v>
      </c>
    </row>
    <row r="148" spans="1:15" x14ac:dyDescent="0.25">
      <c r="B148" s="12" t="s">
        <v>353</v>
      </c>
      <c r="C148" s="13" t="s">
        <v>354</v>
      </c>
      <c r="D148" s="14" t="s">
        <v>24</v>
      </c>
      <c r="E148" s="14" t="s">
        <v>16</v>
      </c>
      <c r="F148" s="15">
        <v>42163</v>
      </c>
      <c r="G148" s="88">
        <v>0.4</v>
      </c>
      <c r="H148" s="15">
        <v>42345</v>
      </c>
      <c r="I148" s="88">
        <v>0.2</v>
      </c>
      <c r="J148" s="15"/>
      <c r="K148" s="88"/>
      <c r="L148" s="15"/>
      <c r="M148" s="88"/>
      <c r="N148" s="89">
        <f t="shared" si="2"/>
        <v>0.60000000000000009</v>
      </c>
    </row>
    <row r="149" spans="1:15" x14ac:dyDescent="0.25">
      <c r="B149" s="12" t="s">
        <v>357</v>
      </c>
      <c r="C149" s="13" t="s">
        <v>358</v>
      </c>
      <c r="D149" s="14" t="s">
        <v>15</v>
      </c>
      <c r="E149" s="14" t="s">
        <v>77</v>
      </c>
      <c r="F149" s="15">
        <v>42096</v>
      </c>
      <c r="G149" s="88">
        <v>34</v>
      </c>
      <c r="H149" s="15">
        <v>42229</v>
      </c>
      <c r="I149" s="88">
        <v>18</v>
      </c>
      <c r="J149" s="15"/>
      <c r="K149" s="88"/>
      <c r="L149" s="15"/>
      <c r="M149" s="88"/>
      <c r="N149" s="89">
        <f t="shared" si="2"/>
        <v>52</v>
      </c>
    </row>
    <row r="150" spans="1:15" x14ac:dyDescent="0.25">
      <c r="B150" s="12" t="s">
        <v>359</v>
      </c>
      <c r="C150" s="13" t="s">
        <v>360</v>
      </c>
      <c r="D150" s="14" t="s">
        <v>24</v>
      </c>
      <c r="E150" s="14" t="s">
        <v>16</v>
      </c>
      <c r="F150" s="15">
        <v>42191</v>
      </c>
      <c r="G150" s="88">
        <v>0.82</v>
      </c>
      <c r="H150" s="15">
        <v>42324</v>
      </c>
      <c r="I150" s="88">
        <v>0.98</v>
      </c>
      <c r="J150" s="15"/>
      <c r="K150" s="88"/>
      <c r="L150" s="15"/>
      <c r="M150" s="88"/>
      <c r="N150" s="89">
        <f t="shared" si="2"/>
        <v>1.7999999999999998</v>
      </c>
    </row>
    <row r="151" spans="1:15" x14ac:dyDescent="0.25">
      <c r="B151" s="12" t="s">
        <v>361</v>
      </c>
      <c r="C151" s="13" t="s">
        <v>362</v>
      </c>
      <c r="D151" s="14" t="s">
        <v>24</v>
      </c>
      <c r="E151" s="14" t="s">
        <v>16</v>
      </c>
      <c r="F151" s="15"/>
      <c r="G151" s="88"/>
      <c r="H151" s="15"/>
      <c r="I151" s="88"/>
      <c r="J151" s="15"/>
      <c r="K151" s="88"/>
      <c r="L151" s="15"/>
      <c r="M151" s="88"/>
      <c r="N151" s="89">
        <f t="shared" si="2"/>
        <v>0</v>
      </c>
    </row>
    <row r="152" spans="1:15" x14ac:dyDescent="0.25">
      <c r="B152" s="12" t="s">
        <v>366</v>
      </c>
      <c r="C152" s="13" t="s">
        <v>367</v>
      </c>
      <c r="D152" s="14" t="s">
        <v>15</v>
      </c>
      <c r="E152" s="14" t="s">
        <v>16</v>
      </c>
      <c r="F152" s="15">
        <v>42135</v>
      </c>
      <c r="G152" s="88">
        <v>0.8</v>
      </c>
      <c r="H152" s="15"/>
      <c r="I152" s="88"/>
      <c r="J152" s="15"/>
      <c r="K152" s="88"/>
      <c r="L152" s="15"/>
      <c r="M152" s="88"/>
      <c r="N152" s="89">
        <f t="shared" si="2"/>
        <v>0.8</v>
      </c>
    </row>
    <row r="153" spans="1:15" x14ac:dyDescent="0.25">
      <c r="A153" s="33"/>
      <c r="B153" s="37" t="s">
        <v>664</v>
      </c>
      <c r="C153" s="13" t="s">
        <v>481</v>
      </c>
      <c r="D153" s="14" t="s">
        <v>237</v>
      </c>
      <c r="E153" s="14" t="s">
        <v>16</v>
      </c>
      <c r="F153" s="15">
        <v>42132</v>
      </c>
      <c r="G153" s="94">
        <v>0.19869999999999999</v>
      </c>
      <c r="H153" s="15">
        <v>42356</v>
      </c>
      <c r="I153" s="88">
        <v>4.1799999999999997E-2</v>
      </c>
      <c r="J153" s="15"/>
      <c r="K153" s="88"/>
      <c r="L153" s="15"/>
      <c r="M153" s="88"/>
      <c r="N153" s="89">
        <f t="shared" si="2"/>
        <v>0.24049999999999999</v>
      </c>
      <c r="O153" s="36"/>
    </row>
    <row r="154" spans="1:15" x14ac:dyDescent="0.25">
      <c r="B154" s="12" t="s">
        <v>368</v>
      </c>
      <c r="C154" s="13" t="s">
        <v>369</v>
      </c>
      <c r="D154" s="14" t="s">
        <v>27</v>
      </c>
      <c r="E154" s="14" t="s">
        <v>16</v>
      </c>
      <c r="F154" s="15">
        <v>42116</v>
      </c>
      <c r="G154" s="88">
        <v>1</v>
      </c>
      <c r="H154" s="15">
        <v>42347</v>
      </c>
      <c r="I154" s="88">
        <v>0.5</v>
      </c>
      <c r="J154" s="15"/>
      <c r="K154" s="88"/>
      <c r="L154" s="15"/>
      <c r="M154" s="88"/>
      <c r="N154" s="89">
        <f t="shared" si="2"/>
        <v>1.5</v>
      </c>
    </row>
    <row r="155" spans="1:15" x14ac:dyDescent="0.25">
      <c r="A155" s="33"/>
      <c r="B155" s="37" t="s">
        <v>370</v>
      </c>
      <c r="C155" s="13" t="s">
        <v>371</v>
      </c>
      <c r="D155" s="14" t="s">
        <v>15</v>
      </c>
      <c r="E155" s="14" t="s">
        <v>77</v>
      </c>
      <c r="F155" s="15">
        <v>42089</v>
      </c>
      <c r="G155" s="88">
        <v>25.74</v>
      </c>
      <c r="H155" s="15">
        <v>42236</v>
      </c>
      <c r="I155" s="88">
        <v>12.31</v>
      </c>
      <c r="J155" s="15"/>
      <c r="K155" s="88"/>
      <c r="L155" s="15"/>
      <c r="M155" s="88"/>
      <c r="N155" s="89">
        <f t="shared" si="2"/>
        <v>38.049999999999997</v>
      </c>
      <c r="O155" s="36"/>
    </row>
    <row r="156" spans="1:15" x14ac:dyDescent="0.25">
      <c r="A156" s="33"/>
      <c r="B156" s="37" t="s">
        <v>372</v>
      </c>
      <c r="C156" s="13" t="s">
        <v>373</v>
      </c>
      <c r="D156" s="14" t="s">
        <v>24</v>
      </c>
      <c r="E156" s="14" t="s">
        <v>16</v>
      </c>
      <c r="F156" s="15">
        <v>42157</v>
      </c>
      <c r="G156" s="88">
        <v>1.2</v>
      </c>
      <c r="H156" s="15"/>
      <c r="I156" s="88"/>
      <c r="J156" s="15"/>
      <c r="K156" s="88"/>
      <c r="L156" s="15"/>
      <c r="M156" s="88"/>
      <c r="N156" s="89">
        <f t="shared" si="2"/>
        <v>1.2</v>
      </c>
      <c r="O156" s="36"/>
    </row>
    <row r="157" spans="1:15" x14ac:dyDescent="0.25">
      <c r="B157" s="12" t="s">
        <v>374</v>
      </c>
      <c r="C157" s="13" t="s">
        <v>375</v>
      </c>
      <c r="D157" s="14" t="s">
        <v>15</v>
      </c>
      <c r="E157" s="14" t="s">
        <v>16</v>
      </c>
      <c r="F157" s="15">
        <v>42102</v>
      </c>
      <c r="G157" s="88">
        <v>1.29</v>
      </c>
      <c r="H157" s="15"/>
      <c r="I157" s="88"/>
      <c r="J157" s="15"/>
      <c r="K157" s="88"/>
      <c r="L157" s="15"/>
      <c r="M157" s="88"/>
      <c r="N157" s="89">
        <f t="shared" si="2"/>
        <v>1.29</v>
      </c>
    </row>
    <row r="158" spans="1:15" x14ac:dyDescent="0.25">
      <c r="B158" s="12" t="s">
        <v>376</v>
      </c>
      <c r="C158" s="13" t="s">
        <v>377</v>
      </c>
      <c r="D158" s="14" t="s">
        <v>15</v>
      </c>
      <c r="E158" s="14" t="s">
        <v>77</v>
      </c>
      <c r="F158" s="15">
        <v>42110</v>
      </c>
      <c r="G158" s="88">
        <v>79</v>
      </c>
      <c r="H158" s="15">
        <v>42229</v>
      </c>
      <c r="I158" s="88">
        <v>50.3</v>
      </c>
      <c r="J158" s="15"/>
      <c r="K158" s="88"/>
      <c r="L158" s="15"/>
      <c r="M158" s="88"/>
      <c r="N158" s="89">
        <f t="shared" si="2"/>
        <v>129.30000000000001</v>
      </c>
    </row>
    <row r="159" spans="1:15" x14ac:dyDescent="0.25">
      <c r="B159" s="12" t="s">
        <v>378</v>
      </c>
      <c r="C159" s="13" t="s">
        <v>379</v>
      </c>
      <c r="D159" s="14" t="s">
        <v>15</v>
      </c>
      <c r="E159" s="14" t="s">
        <v>16</v>
      </c>
      <c r="F159" s="15">
        <v>42186</v>
      </c>
      <c r="G159" s="88">
        <v>2.1677</v>
      </c>
      <c r="H159" s="15"/>
      <c r="I159" s="88"/>
      <c r="J159" s="15"/>
      <c r="K159" s="88"/>
      <c r="L159" s="15"/>
      <c r="M159" s="88"/>
      <c r="N159" s="89">
        <f t="shared" si="2"/>
        <v>2.1677</v>
      </c>
    </row>
    <row r="160" spans="1:15" x14ac:dyDescent="0.25">
      <c r="B160" s="12" t="s">
        <v>380</v>
      </c>
      <c r="C160" s="13" t="s">
        <v>381</v>
      </c>
      <c r="D160" s="14" t="s">
        <v>15</v>
      </c>
      <c r="E160" s="14" t="s">
        <v>16</v>
      </c>
      <c r="F160" s="15">
        <v>42124</v>
      </c>
      <c r="G160" s="94">
        <v>0.2848</v>
      </c>
      <c r="H160" s="15">
        <v>42222</v>
      </c>
      <c r="I160" s="88">
        <v>0.115</v>
      </c>
      <c r="J160" s="15"/>
      <c r="K160" s="88"/>
      <c r="L160" s="15"/>
      <c r="M160" s="88"/>
      <c r="N160" s="89">
        <f t="shared" si="2"/>
        <v>0.39979999999999999</v>
      </c>
    </row>
    <row r="161" spans="2:14" x14ac:dyDescent="0.25">
      <c r="B161" s="12" t="s">
        <v>382</v>
      </c>
      <c r="C161" s="13" t="s">
        <v>383</v>
      </c>
      <c r="D161" s="14" t="s">
        <v>15</v>
      </c>
      <c r="E161" s="14" t="s">
        <v>77</v>
      </c>
      <c r="F161" s="15">
        <v>42124</v>
      </c>
      <c r="G161" s="88">
        <v>19</v>
      </c>
      <c r="H161" s="15">
        <v>42222</v>
      </c>
      <c r="I161" s="88">
        <v>7.4</v>
      </c>
      <c r="J161" s="15"/>
      <c r="K161" s="88"/>
      <c r="L161" s="15"/>
      <c r="M161" s="88"/>
      <c r="N161" s="89">
        <f t="shared" si="2"/>
        <v>26.4</v>
      </c>
    </row>
    <row r="162" spans="2:14" x14ac:dyDescent="0.25">
      <c r="B162" s="12" t="s">
        <v>384</v>
      </c>
      <c r="C162" s="13" t="s">
        <v>385</v>
      </c>
      <c r="D162" s="14" t="s">
        <v>24</v>
      </c>
      <c r="E162" s="14" t="s">
        <v>16</v>
      </c>
      <c r="F162" s="15">
        <v>42137</v>
      </c>
      <c r="G162" s="88">
        <v>1.9</v>
      </c>
      <c r="H162" s="15"/>
      <c r="I162" s="88"/>
      <c r="J162" s="15"/>
      <c r="K162" s="88"/>
      <c r="L162" s="15"/>
      <c r="M162" s="88"/>
      <c r="N162" s="89">
        <f t="shared" si="2"/>
        <v>1.9</v>
      </c>
    </row>
    <row r="163" spans="2:14" x14ac:dyDescent="0.25">
      <c r="B163" s="12" t="s">
        <v>386</v>
      </c>
      <c r="C163" s="13" t="s">
        <v>387</v>
      </c>
      <c r="D163" s="14" t="s">
        <v>15</v>
      </c>
      <c r="E163" s="14" t="s">
        <v>16</v>
      </c>
      <c r="F163" s="15">
        <v>41995</v>
      </c>
      <c r="G163" s="88">
        <v>0.47199999999999998</v>
      </c>
      <c r="H163" s="15">
        <v>42172</v>
      </c>
      <c r="I163" s="88">
        <v>0.48399999999999999</v>
      </c>
      <c r="J163" s="15"/>
      <c r="K163" s="88"/>
      <c r="L163" s="15"/>
      <c r="M163" s="88"/>
      <c r="N163" s="89">
        <f t="shared" si="2"/>
        <v>0.95599999999999996</v>
      </c>
    </row>
    <row r="164" spans="2:14" x14ac:dyDescent="0.25">
      <c r="B164" s="12" t="s">
        <v>388</v>
      </c>
      <c r="C164" s="13" t="s">
        <v>389</v>
      </c>
      <c r="D164" s="14" t="s">
        <v>15</v>
      </c>
      <c r="E164" s="14" t="s">
        <v>77</v>
      </c>
      <c r="F164" s="15">
        <v>42068</v>
      </c>
      <c r="G164" s="88">
        <v>77.98</v>
      </c>
      <c r="H164" s="15">
        <v>42229</v>
      </c>
      <c r="I164" s="88">
        <v>68.92</v>
      </c>
      <c r="J164" s="15"/>
      <c r="K164" s="88"/>
      <c r="L164" s="15"/>
      <c r="M164" s="88"/>
      <c r="N164" s="89">
        <f t="shared" si="2"/>
        <v>146.9</v>
      </c>
    </row>
    <row r="165" spans="2:14" x14ac:dyDescent="0.25">
      <c r="B165" s="12" t="s">
        <v>390</v>
      </c>
      <c r="C165" s="13" t="s">
        <v>391</v>
      </c>
      <c r="D165" s="14" t="s">
        <v>15</v>
      </c>
      <c r="E165" s="14" t="s">
        <v>21</v>
      </c>
      <c r="F165" s="15">
        <v>42068</v>
      </c>
      <c r="G165" s="88">
        <v>8</v>
      </c>
      <c r="H165" s="15"/>
      <c r="I165" s="88"/>
      <c r="J165" s="15"/>
      <c r="K165" s="88"/>
      <c r="L165" s="15"/>
      <c r="M165" s="88"/>
      <c r="N165" s="89">
        <f t="shared" si="2"/>
        <v>8</v>
      </c>
    </row>
    <row r="166" spans="2:14" x14ac:dyDescent="0.25">
      <c r="B166" s="12" t="s">
        <v>392</v>
      </c>
      <c r="C166" s="13" t="s">
        <v>393</v>
      </c>
      <c r="D166" s="14" t="s">
        <v>15</v>
      </c>
      <c r="E166" s="14" t="s">
        <v>77</v>
      </c>
      <c r="F166" s="15">
        <v>42117</v>
      </c>
      <c r="G166" s="88">
        <v>14.1</v>
      </c>
      <c r="H166" s="15">
        <v>42299</v>
      </c>
      <c r="I166" s="88">
        <v>9.27</v>
      </c>
      <c r="J166" s="15"/>
      <c r="K166" s="88"/>
      <c r="L166" s="15"/>
      <c r="M166" s="88"/>
      <c r="N166" s="89">
        <f t="shared" si="2"/>
        <v>23.369999999999997</v>
      </c>
    </row>
    <row r="167" spans="2:14" x14ac:dyDescent="0.25">
      <c r="B167" s="12" t="s">
        <v>394</v>
      </c>
      <c r="C167" s="13" t="s">
        <v>395</v>
      </c>
      <c r="D167" s="14" t="s">
        <v>15</v>
      </c>
      <c r="E167" s="14" t="s">
        <v>16</v>
      </c>
      <c r="F167" s="15">
        <v>42047</v>
      </c>
      <c r="G167" s="88">
        <v>0.41539999999999999</v>
      </c>
      <c r="H167" s="15">
        <v>42138</v>
      </c>
      <c r="I167" s="101">
        <v>0.41889999999999999</v>
      </c>
      <c r="J167" s="15">
        <v>42229</v>
      </c>
      <c r="K167" s="88">
        <v>0.42133572000000002</v>
      </c>
      <c r="L167" s="15">
        <v>42320</v>
      </c>
      <c r="M167" s="88">
        <v>0.43859649000000001</v>
      </c>
      <c r="N167" s="89">
        <f t="shared" si="2"/>
        <v>1.69423221</v>
      </c>
    </row>
    <row r="168" spans="2:14" x14ac:dyDescent="0.25">
      <c r="B168" s="12" t="s">
        <v>396</v>
      </c>
      <c r="C168" s="13" t="s">
        <v>397</v>
      </c>
      <c r="D168" s="14" t="s">
        <v>15</v>
      </c>
      <c r="E168" s="14" t="s">
        <v>16</v>
      </c>
      <c r="F168" s="15">
        <v>42118</v>
      </c>
      <c r="G168" s="88">
        <v>1</v>
      </c>
      <c r="H168" s="15"/>
      <c r="I168" s="88"/>
      <c r="J168" s="15"/>
      <c r="K168" s="88"/>
      <c r="L168" s="15"/>
      <c r="M168" s="88"/>
      <c r="N168" s="89">
        <f t="shared" si="2"/>
        <v>1</v>
      </c>
    </row>
    <row r="169" spans="2:14" x14ac:dyDescent="0.25">
      <c r="B169" s="12" t="s">
        <v>665</v>
      </c>
      <c r="C169" s="13" t="s">
        <v>666</v>
      </c>
      <c r="D169" s="14" t="s">
        <v>15</v>
      </c>
      <c r="E169" s="14" t="s">
        <v>56</v>
      </c>
      <c r="F169" s="15">
        <v>42222</v>
      </c>
      <c r="G169" s="88">
        <v>0.87</v>
      </c>
      <c r="H169" s="15">
        <v>42334</v>
      </c>
      <c r="I169" s="88">
        <v>0.28249999999999997</v>
      </c>
      <c r="J169" s="15"/>
      <c r="K169" s="88"/>
      <c r="L169" s="15"/>
      <c r="M169" s="88"/>
      <c r="N169" s="89">
        <f t="shared" si="2"/>
        <v>1.1524999999999999</v>
      </c>
    </row>
    <row r="170" spans="2:14" x14ac:dyDescent="0.25">
      <c r="B170" s="12" t="s">
        <v>398</v>
      </c>
      <c r="C170" s="13" t="s">
        <v>399</v>
      </c>
      <c r="D170" s="14" t="s">
        <v>24</v>
      </c>
      <c r="E170" s="14" t="s">
        <v>16</v>
      </c>
      <c r="F170" s="15">
        <v>42121</v>
      </c>
      <c r="G170" s="88">
        <v>0.64</v>
      </c>
      <c r="H170" s="15"/>
      <c r="I170" s="88"/>
      <c r="J170" s="15"/>
      <c r="K170" s="88"/>
      <c r="L170" s="15"/>
      <c r="M170" s="88"/>
      <c r="N170" s="89">
        <f t="shared" si="2"/>
        <v>0.64</v>
      </c>
    </row>
    <row r="171" spans="2:14" x14ac:dyDescent="0.25">
      <c r="B171" s="12" t="s">
        <v>400</v>
      </c>
      <c r="C171" s="13" t="s">
        <v>401</v>
      </c>
      <c r="D171" s="14" t="s">
        <v>24</v>
      </c>
      <c r="E171" s="14" t="s">
        <v>16</v>
      </c>
      <c r="F171" s="15">
        <v>42165</v>
      </c>
      <c r="G171" s="88">
        <v>1.24</v>
      </c>
      <c r="H171" s="15"/>
      <c r="I171" s="88"/>
      <c r="J171" s="15"/>
      <c r="K171" s="88"/>
      <c r="L171" s="15"/>
      <c r="M171" s="88"/>
      <c r="N171" s="89">
        <f t="shared" si="2"/>
        <v>1.24</v>
      </c>
    </row>
    <row r="172" spans="2:14" x14ac:dyDescent="0.25">
      <c r="B172" s="12" t="s">
        <v>402</v>
      </c>
      <c r="C172" s="13" t="s">
        <v>403</v>
      </c>
      <c r="D172" s="14" t="s">
        <v>15</v>
      </c>
      <c r="E172" s="14" t="s">
        <v>16</v>
      </c>
      <c r="F172" s="15">
        <v>42142</v>
      </c>
      <c r="G172" s="88">
        <v>0.42</v>
      </c>
      <c r="H172" s="15"/>
      <c r="I172" s="88"/>
      <c r="J172" s="15"/>
      <c r="K172" s="88"/>
      <c r="L172" s="15"/>
      <c r="M172" s="88"/>
      <c r="N172" s="89">
        <f t="shared" si="2"/>
        <v>0.42</v>
      </c>
    </row>
    <row r="173" spans="2:14" x14ac:dyDescent="0.25">
      <c r="B173" s="12" t="s">
        <v>406</v>
      </c>
      <c r="C173" s="13" t="s">
        <v>407</v>
      </c>
      <c r="D173" s="14" t="s">
        <v>24</v>
      </c>
      <c r="E173" s="14" t="s">
        <v>16</v>
      </c>
      <c r="F173" s="15">
        <v>42135</v>
      </c>
      <c r="G173" s="88">
        <v>2.85</v>
      </c>
      <c r="H173" s="15"/>
      <c r="I173" s="88"/>
      <c r="J173" s="15"/>
      <c r="K173" s="88"/>
      <c r="L173" s="15"/>
      <c r="M173" s="88"/>
      <c r="N173" s="89">
        <f t="shared" si="2"/>
        <v>2.85</v>
      </c>
    </row>
    <row r="174" spans="2:14" x14ac:dyDescent="0.25">
      <c r="B174" s="12" t="s">
        <v>408</v>
      </c>
      <c r="C174" s="13" t="s">
        <v>409</v>
      </c>
      <c r="D174" s="14" t="s">
        <v>15</v>
      </c>
      <c r="E174" s="14" t="s">
        <v>16</v>
      </c>
      <c r="F174" s="15">
        <v>42145</v>
      </c>
      <c r="G174" s="88">
        <v>1.1000000000000001</v>
      </c>
      <c r="H174" s="15"/>
      <c r="I174" s="88"/>
      <c r="J174" s="15"/>
      <c r="K174" s="88"/>
      <c r="L174" s="15"/>
      <c r="M174" s="88"/>
      <c r="N174" s="89">
        <f t="shared" si="2"/>
        <v>1.1000000000000001</v>
      </c>
    </row>
    <row r="175" spans="2:14" x14ac:dyDescent="0.25">
      <c r="B175" s="12" t="s">
        <v>412</v>
      </c>
      <c r="C175" s="13" t="s">
        <v>413</v>
      </c>
      <c r="D175" s="14" t="s">
        <v>24</v>
      </c>
      <c r="E175" s="14" t="s">
        <v>16</v>
      </c>
      <c r="F175" s="15">
        <v>42124</v>
      </c>
      <c r="G175" s="88">
        <v>1.92</v>
      </c>
      <c r="H175" s="15"/>
      <c r="I175" s="88"/>
      <c r="J175" s="15"/>
      <c r="K175" s="88"/>
      <c r="L175" s="15"/>
      <c r="M175" s="88"/>
      <c r="N175" s="89">
        <f t="shared" si="2"/>
        <v>1.92</v>
      </c>
    </row>
    <row r="176" spans="2:14" x14ac:dyDescent="0.25">
      <c r="B176" s="12" t="s">
        <v>414</v>
      </c>
      <c r="C176" s="13" t="s">
        <v>415</v>
      </c>
      <c r="D176" s="14" t="s">
        <v>24</v>
      </c>
      <c r="E176" s="14" t="s">
        <v>16</v>
      </c>
      <c r="F176" s="15">
        <v>42129</v>
      </c>
      <c r="G176" s="88">
        <v>1.4</v>
      </c>
      <c r="H176" s="15"/>
      <c r="I176" s="88"/>
      <c r="J176" s="15"/>
      <c r="K176" s="88"/>
      <c r="L176" s="15"/>
      <c r="M176" s="88"/>
      <c r="N176" s="89">
        <f t="shared" si="2"/>
        <v>1.4</v>
      </c>
    </row>
    <row r="177" spans="2:14" x14ac:dyDescent="0.25">
      <c r="B177" s="12" t="s">
        <v>416</v>
      </c>
      <c r="C177" s="13" t="s">
        <v>417</v>
      </c>
      <c r="D177" s="14" t="s">
        <v>237</v>
      </c>
      <c r="E177" s="14" t="s">
        <v>16</v>
      </c>
      <c r="F177" s="15"/>
      <c r="G177" s="88"/>
      <c r="H177" s="15"/>
      <c r="I177" s="88"/>
      <c r="J177" s="15"/>
      <c r="K177" s="88"/>
      <c r="L177" s="15"/>
      <c r="M177" s="88"/>
      <c r="N177" s="89">
        <f t="shared" si="2"/>
        <v>0</v>
      </c>
    </row>
    <row r="178" spans="2:14" x14ac:dyDescent="0.25">
      <c r="B178" s="12" t="s">
        <v>418</v>
      </c>
      <c r="C178" s="13" t="s">
        <v>419</v>
      </c>
      <c r="D178" s="14" t="s">
        <v>15</v>
      </c>
      <c r="E178" s="14" t="s">
        <v>77</v>
      </c>
      <c r="F178" s="15">
        <v>42173</v>
      </c>
      <c r="G178" s="88">
        <v>50.94</v>
      </c>
      <c r="H178" s="15">
        <v>42341</v>
      </c>
      <c r="I178" s="88">
        <v>32.26</v>
      </c>
      <c r="J178" s="15"/>
      <c r="K178" s="88"/>
      <c r="L178" s="15"/>
      <c r="M178" s="88"/>
      <c r="N178" s="89">
        <f t="shared" si="2"/>
        <v>83.199999999999989</v>
      </c>
    </row>
    <row r="179" spans="2:14" x14ac:dyDescent="0.25">
      <c r="B179" s="12" t="s">
        <v>420</v>
      </c>
      <c r="C179" s="13" t="s">
        <v>421</v>
      </c>
      <c r="D179" s="14" t="s">
        <v>15</v>
      </c>
      <c r="E179" s="14" t="s">
        <v>21</v>
      </c>
      <c r="F179" s="15">
        <v>42079</v>
      </c>
      <c r="G179" s="88">
        <v>68</v>
      </c>
      <c r="H179" s="15"/>
      <c r="I179" s="88"/>
      <c r="J179" s="15"/>
      <c r="K179" s="88"/>
      <c r="L179" s="15"/>
      <c r="M179" s="88"/>
      <c r="N179" s="89">
        <f t="shared" si="2"/>
        <v>68</v>
      </c>
    </row>
    <row r="180" spans="2:14" x14ac:dyDescent="0.25">
      <c r="B180" s="12" t="s">
        <v>422</v>
      </c>
      <c r="C180" s="13" t="s">
        <v>423</v>
      </c>
      <c r="D180" s="14" t="s">
        <v>15</v>
      </c>
      <c r="E180" s="14" t="s">
        <v>77</v>
      </c>
      <c r="F180" s="15">
        <v>42075</v>
      </c>
      <c r="G180" s="88">
        <v>12.51</v>
      </c>
      <c r="H180" s="15">
        <v>42250</v>
      </c>
      <c r="I180" s="88">
        <v>2.69</v>
      </c>
      <c r="J180" s="15"/>
      <c r="K180" s="88"/>
      <c r="L180" s="15"/>
      <c r="M180" s="88"/>
      <c r="N180" s="89">
        <f t="shared" si="2"/>
        <v>15.2</v>
      </c>
    </row>
    <row r="181" spans="2:14" x14ac:dyDescent="0.25">
      <c r="B181" s="12" t="s">
        <v>424</v>
      </c>
      <c r="C181" s="13" t="s">
        <v>425</v>
      </c>
      <c r="D181" s="14" t="s">
        <v>15</v>
      </c>
      <c r="E181" s="14" t="s">
        <v>16</v>
      </c>
      <c r="F181" s="15">
        <v>42032</v>
      </c>
      <c r="G181" s="88">
        <v>3.3</v>
      </c>
      <c r="H181" s="15"/>
      <c r="I181" s="88"/>
      <c r="J181" s="15"/>
      <c r="K181" s="88"/>
      <c r="L181" s="15"/>
      <c r="M181" s="88"/>
      <c r="N181" s="89">
        <f t="shared" si="2"/>
        <v>3.3</v>
      </c>
    </row>
    <row r="182" spans="2:14" x14ac:dyDescent="0.25">
      <c r="B182" s="12" t="s">
        <v>428</v>
      </c>
      <c r="C182" s="13" t="s">
        <v>429</v>
      </c>
      <c r="D182" s="14" t="s">
        <v>15</v>
      </c>
      <c r="E182" s="14" t="s">
        <v>77</v>
      </c>
      <c r="F182" s="15">
        <v>42089</v>
      </c>
      <c r="G182" s="88">
        <v>12.3</v>
      </c>
      <c r="H182" s="15">
        <v>42299</v>
      </c>
      <c r="I182" s="88">
        <v>22.777778000000001</v>
      </c>
      <c r="J182" s="15"/>
      <c r="K182" s="88"/>
      <c r="L182" s="15"/>
      <c r="M182" s="88"/>
      <c r="N182" s="89">
        <f t="shared" si="2"/>
        <v>35.077778000000002</v>
      </c>
    </row>
    <row r="183" spans="2:14" x14ac:dyDescent="0.25">
      <c r="B183" s="12" t="s">
        <v>430</v>
      </c>
      <c r="C183" s="13" t="s">
        <v>433</v>
      </c>
      <c r="D183" s="14" t="s">
        <v>15</v>
      </c>
      <c r="E183" s="14" t="s">
        <v>16</v>
      </c>
      <c r="F183" s="15">
        <v>42142</v>
      </c>
      <c r="G183" s="88">
        <v>0.25</v>
      </c>
      <c r="H183" s="15"/>
      <c r="I183" s="88"/>
      <c r="J183" s="15"/>
      <c r="K183" s="88"/>
      <c r="L183" s="15"/>
      <c r="M183" s="88"/>
      <c r="N183" s="89">
        <f t="shared" si="2"/>
        <v>0.25</v>
      </c>
    </row>
    <row r="184" spans="2:14" x14ac:dyDescent="0.25">
      <c r="B184" s="12" t="s">
        <v>435</v>
      </c>
      <c r="C184" s="13" t="s">
        <v>436</v>
      </c>
      <c r="D184" s="14" t="s">
        <v>24</v>
      </c>
      <c r="E184" s="14" t="s">
        <v>16</v>
      </c>
      <c r="F184" s="15">
        <v>42150</v>
      </c>
      <c r="G184" s="88">
        <v>1.2</v>
      </c>
      <c r="H184" s="15"/>
      <c r="I184" s="88"/>
      <c r="J184" s="15"/>
      <c r="K184" s="88"/>
      <c r="L184" s="15"/>
      <c r="M184" s="88"/>
      <c r="N184" s="89">
        <f t="shared" si="2"/>
        <v>1.2</v>
      </c>
    </row>
    <row r="185" spans="2:14" x14ac:dyDescent="0.25">
      <c r="B185" s="12" t="s">
        <v>439</v>
      </c>
      <c r="C185" s="13" t="s">
        <v>440</v>
      </c>
      <c r="D185" s="14" t="s">
        <v>27</v>
      </c>
      <c r="E185" s="14" t="s">
        <v>16</v>
      </c>
      <c r="F185" s="15">
        <v>42024</v>
      </c>
      <c r="G185" s="88">
        <v>1.2531000000000001</v>
      </c>
      <c r="H185" s="15">
        <v>42139</v>
      </c>
      <c r="I185" s="88">
        <v>1.9423999999999999</v>
      </c>
      <c r="J185" s="15"/>
      <c r="K185" s="88"/>
      <c r="L185" s="15"/>
      <c r="M185" s="88"/>
      <c r="N185" s="89">
        <f t="shared" si="2"/>
        <v>3.1955</v>
      </c>
    </row>
    <row r="186" spans="2:14" x14ac:dyDescent="0.25">
      <c r="B186" s="12" t="s">
        <v>439</v>
      </c>
      <c r="C186" s="13" t="s">
        <v>442</v>
      </c>
      <c r="D186" s="14" t="s">
        <v>27</v>
      </c>
      <c r="E186" s="14" t="s">
        <v>16</v>
      </c>
      <c r="F186" s="15">
        <v>42024</v>
      </c>
      <c r="G186" s="88">
        <v>1.2531000000000001</v>
      </c>
      <c r="H186" s="15">
        <v>42139</v>
      </c>
      <c r="I186" s="88">
        <v>1.9423999999999999</v>
      </c>
      <c r="J186" s="15"/>
      <c r="K186" s="88"/>
      <c r="L186" s="15"/>
      <c r="M186" s="88"/>
      <c r="N186" s="89">
        <f t="shared" si="2"/>
        <v>3.1955</v>
      </c>
    </row>
    <row r="187" spans="2:14" x14ac:dyDescent="0.25">
      <c r="B187" s="12" t="s">
        <v>445</v>
      </c>
      <c r="C187" s="13" t="s">
        <v>446</v>
      </c>
      <c r="D187" s="14" t="s">
        <v>15</v>
      </c>
      <c r="E187" s="14" t="s">
        <v>77</v>
      </c>
      <c r="F187" s="15">
        <v>42026</v>
      </c>
      <c r="G187" s="88">
        <v>26.6</v>
      </c>
      <c r="H187" s="15">
        <v>42208</v>
      </c>
      <c r="I187" s="88">
        <v>61.8</v>
      </c>
      <c r="J187" s="15"/>
      <c r="K187" s="88"/>
      <c r="L187" s="15"/>
      <c r="M187" s="88"/>
      <c r="N187" s="89">
        <f t="shared" si="2"/>
        <v>88.4</v>
      </c>
    </row>
    <row r="188" spans="2:14" x14ac:dyDescent="0.25">
      <c r="B188" s="12" t="s">
        <v>447</v>
      </c>
      <c r="C188" s="13" t="s">
        <v>448</v>
      </c>
      <c r="D188" s="14" t="s">
        <v>15</v>
      </c>
      <c r="E188" s="14" t="s">
        <v>56</v>
      </c>
      <c r="F188" s="15">
        <v>42075</v>
      </c>
      <c r="G188" s="94">
        <v>0.5444</v>
      </c>
      <c r="H188" s="15">
        <v>42229</v>
      </c>
      <c r="I188" s="94">
        <v>0.1371</v>
      </c>
      <c r="J188" s="15"/>
      <c r="K188" s="88"/>
      <c r="L188" s="15"/>
      <c r="M188" s="88"/>
      <c r="N188" s="89">
        <f t="shared" si="2"/>
        <v>0.68149999999999999</v>
      </c>
    </row>
    <row r="189" spans="2:14" x14ac:dyDescent="0.25">
      <c r="B189" s="12" t="s">
        <v>451</v>
      </c>
      <c r="C189" s="13" t="s">
        <v>452</v>
      </c>
      <c r="D189" s="14" t="s">
        <v>15</v>
      </c>
      <c r="E189" s="14" t="s">
        <v>56</v>
      </c>
      <c r="F189" s="15">
        <v>42086</v>
      </c>
      <c r="G189" s="88">
        <v>0.1</v>
      </c>
      <c r="H189" s="15">
        <v>42170</v>
      </c>
      <c r="I189" s="88">
        <v>0.1</v>
      </c>
      <c r="J189" s="15">
        <v>42268</v>
      </c>
      <c r="K189" s="88">
        <v>0.1</v>
      </c>
      <c r="L189" s="15">
        <v>42352</v>
      </c>
      <c r="M189" s="88">
        <v>0.1</v>
      </c>
      <c r="N189" s="89">
        <f t="shared" si="2"/>
        <v>0.4</v>
      </c>
    </row>
    <row r="190" spans="2:14" x14ac:dyDescent="0.25">
      <c r="B190" s="12" t="s">
        <v>453</v>
      </c>
      <c r="C190" s="13" t="s">
        <v>454</v>
      </c>
      <c r="D190" s="14" t="s">
        <v>24</v>
      </c>
      <c r="E190" s="14" t="s">
        <v>16</v>
      </c>
      <c r="F190" s="15">
        <v>42139</v>
      </c>
      <c r="G190" s="88">
        <v>0.65</v>
      </c>
      <c r="H190" s="15"/>
      <c r="I190" s="88"/>
      <c r="J190" s="15"/>
      <c r="K190" s="88"/>
      <c r="L190" s="15"/>
      <c r="M190" s="88"/>
      <c r="N190" s="89">
        <f t="shared" si="2"/>
        <v>0.65</v>
      </c>
    </row>
    <row r="191" spans="2:14" x14ac:dyDescent="0.25">
      <c r="B191" s="12" t="s">
        <v>461</v>
      </c>
      <c r="C191" s="13" t="s">
        <v>462</v>
      </c>
      <c r="D191" s="14" t="s">
        <v>15</v>
      </c>
      <c r="E191" s="14" t="s">
        <v>21</v>
      </c>
      <c r="F191" s="15">
        <v>42117</v>
      </c>
      <c r="G191" s="94">
        <v>4.1102999999999996</v>
      </c>
      <c r="H191" s="15"/>
      <c r="I191" s="88"/>
      <c r="J191" s="15"/>
      <c r="K191" s="88"/>
      <c r="L191" s="15"/>
      <c r="M191" s="88"/>
      <c r="N191" s="89">
        <f t="shared" si="2"/>
        <v>4.1102999999999996</v>
      </c>
    </row>
    <row r="192" spans="2:14" x14ac:dyDescent="0.25">
      <c r="B192" s="12" t="s">
        <v>463</v>
      </c>
      <c r="C192" s="13" t="s">
        <v>464</v>
      </c>
      <c r="D192" s="14" t="s">
        <v>15</v>
      </c>
      <c r="E192" s="14" t="s">
        <v>21</v>
      </c>
      <c r="F192" s="15">
        <v>42104</v>
      </c>
      <c r="G192" s="88">
        <v>22</v>
      </c>
      <c r="H192" s="15"/>
      <c r="I192" s="88"/>
      <c r="J192" s="15"/>
      <c r="K192" s="88"/>
      <c r="L192" s="15"/>
      <c r="M192" s="88"/>
      <c r="N192" s="89">
        <f t="shared" si="2"/>
        <v>22</v>
      </c>
    </row>
    <row r="193" spans="2:14" x14ac:dyDescent="0.25">
      <c r="B193" s="12" t="s">
        <v>667</v>
      </c>
      <c r="C193" s="13" t="s">
        <v>466</v>
      </c>
      <c r="D193" s="14" t="s">
        <v>24</v>
      </c>
      <c r="E193" s="14" t="s">
        <v>16</v>
      </c>
      <c r="F193" s="15">
        <v>42123</v>
      </c>
      <c r="G193" s="88">
        <v>2</v>
      </c>
      <c r="H193" s="15"/>
      <c r="I193" s="88"/>
      <c r="J193" s="15"/>
      <c r="K193" s="88"/>
      <c r="L193" s="15"/>
      <c r="M193" s="88"/>
      <c r="N193" s="89">
        <f t="shared" si="2"/>
        <v>2</v>
      </c>
    </row>
    <row r="194" spans="2:14" x14ac:dyDescent="0.25">
      <c r="B194" s="12" t="s">
        <v>469</v>
      </c>
      <c r="C194" s="13" t="s">
        <v>470</v>
      </c>
      <c r="D194" s="14" t="s">
        <v>15</v>
      </c>
      <c r="E194" s="14" t="s">
        <v>16</v>
      </c>
      <c r="F194" s="15"/>
      <c r="G194" s="88"/>
      <c r="H194" s="15"/>
      <c r="I194" s="88"/>
      <c r="J194" s="15"/>
      <c r="K194" s="88"/>
      <c r="L194" s="15"/>
      <c r="M194" s="88"/>
      <c r="N194" s="89">
        <f t="shared" si="2"/>
        <v>0</v>
      </c>
    </row>
    <row r="195" spans="2:14" x14ac:dyDescent="0.25">
      <c r="B195" s="12" t="s">
        <v>471</v>
      </c>
      <c r="C195" s="13" t="s">
        <v>472</v>
      </c>
      <c r="D195" s="14" t="s">
        <v>15</v>
      </c>
      <c r="E195" s="14" t="s">
        <v>16</v>
      </c>
      <c r="F195" s="15">
        <v>42136</v>
      </c>
      <c r="G195" s="88">
        <v>0.4</v>
      </c>
      <c r="H195" s="15">
        <v>42326</v>
      </c>
      <c r="I195" s="88">
        <v>0.34499999999999997</v>
      </c>
      <c r="J195" s="15"/>
      <c r="K195" s="88"/>
      <c r="L195" s="15"/>
      <c r="M195" s="88"/>
      <c r="N195" s="89">
        <f t="shared" si="2"/>
        <v>0.745</v>
      </c>
    </row>
    <row r="196" spans="2:14" x14ac:dyDescent="0.25">
      <c r="B196" s="12" t="s">
        <v>478</v>
      </c>
      <c r="C196" s="13" t="s">
        <v>479</v>
      </c>
      <c r="D196" s="14" t="s">
        <v>15</v>
      </c>
      <c r="E196" s="14" t="s">
        <v>16</v>
      </c>
      <c r="F196" s="15">
        <v>42177</v>
      </c>
      <c r="G196" s="88">
        <v>0.13</v>
      </c>
      <c r="H196" s="15">
        <v>42331</v>
      </c>
      <c r="I196" s="88">
        <v>7.0000000000000007E-2</v>
      </c>
      <c r="J196" s="15"/>
      <c r="K196" s="88"/>
      <c r="L196" s="15"/>
      <c r="M196" s="88"/>
      <c r="N196" s="89">
        <f t="shared" si="2"/>
        <v>0.2</v>
      </c>
    </row>
    <row r="197" spans="2:14" x14ac:dyDescent="0.25">
      <c r="B197" s="12" t="s">
        <v>482</v>
      </c>
      <c r="C197" s="13" t="s">
        <v>483</v>
      </c>
      <c r="D197" s="14" t="s">
        <v>15</v>
      </c>
      <c r="E197" s="14" t="s">
        <v>21</v>
      </c>
      <c r="F197" s="15">
        <v>42156</v>
      </c>
      <c r="G197" s="88">
        <v>7.5</v>
      </c>
      <c r="H197" s="15"/>
      <c r="I197" s="88"/>
      <c r="J197" s="15"/>
      <c r="K197" s="88"/>
      <c r="L197" s="15"/>
      <c r="M197" s="88"/>
      <c r="N197" s="89">
        <f t="shared" si="2"/>
        <v>7.5</v>
      </c>
    </row>
    <row r="198" spans="2:14" x14ac:dyDescent="0.25">
      <c r="B198" s="12" t="s">
        <v>484</v>
      </c>
      <c r="C198" s="13" t="s">
        <v>485</v>
      </c>
      <c r="D198" s="14" t="s">
        <v>15</v>
      </c>
      <c r="E198" s="14" t="s">
        <v>16</v>
      </c>
      <c r="F198" s="15">
        <v>42037</v>
      </c>
      <c r="G198" s="88">
        <v>0.11</v>
      </c>
      <c r="H198" s="15"/>
      <c r="I198" s="88"/>
      <c r="J198" s="15"/>
      <c r="K198" s="88"/>
      <c r="L198" s="15"/>
      <c r="M198" s="88"/>
      <c r="N198" s="89">
        <f t="shared" si="2"/>
        <v>0.11</v>
      </c>
    </row>
    <row r="199" spans="2:14" x14ac:dyDescent="0.25">
      <c r="B199" s="12" t="s">
        <v>668</v>
      </c>
      <c r="C199" s="13" t="s">
        <v>669</v>
      </c>
      <c r="D199" s="14" t="s">
        <v>15</v>
      </c>
      <c r="E199" s="14" t="s">
        <v>16</v>
      </c>
      <c r="F199" s="15">
        <v>42104</v>
      </c>
      <c r="G199" s="88">
        <v>3.1E-2</v>
      </c>
      <c r="H199" s="15"/>
      <c r="I199" s="88"/>
      <c r="J199" s="15"/>
      <c r="K199" s="88"/>
      <c r="L199" s="15"/>
      <c r="M199" s="88"/>
      <c r="N199" s="89">
        <f t="shared" si="2"/>
        <v>3.1E-2</v>
      </c>
    </row>
    <row r="200" spans="2:14" x14ac:dyDescent="0.25">
      <c r="B200" s="12" t="s">
        <v>486</v>
      </c>
      <c r="C200" s="13" t="s">
        <v>487</v>
      </c>
      <c r="D200" s="14" t="s">
        <v>15</v>
      </c>
      <c r="E200" s="14" t="s">
        <v>16</v>
      </c>
      <c r="F200" s="15">
        <v>42142</v>
      </c>
      <c r="G200" s="88">
        <v>2</v>
      </c>
      <c r="H200" s="15"/>
      <c r="I200" s="88"/>
      <c r="J200" s="15"/>
      <c r="K200" s="88"/>
      <c r="L200" s="15"/>
      <c r="M200" s="88"/>
      <c r="N200" s="89">
        <f t="shared" si="2"/>
        <v>2</v>
      </c>
    </row>
    <row r="201" spans="2:14" x14ac:dyDescent="0.25">
      <c r="B201" s="12" t="s">
        <v>488</v>
      </c>
      <c r="C201" s="13" t="s">
        <v>489</v>
      </c>
      <c r="D201" s="14" t="s">
        <v>24</v>
      </c>
      <c r="E201" s="14" t="s">
        <v>16</v>
      </c>
      <c r="F201" s="15">
        <v>42086</v>
      </c>
      <c r="G201" s="88">
        <v>0.61</v>
      </c>
      <c r="H201" s="15">
        <v>42163</v>
      </c>
      <c r="I201" s="88">
        <v>0.61</v>
      </c>
      <c r="J201" s="15">
        <v>42275</v>
      </c>
      <c r="K201" s="88">
        <v>0.61</v>
      </c>
      <c r="L201" s="15"/>
      <c r="M201" s="88"/>
      <c r="N201" s="89">
        <f t="shared" si="2"/>
        <v>1.83</v>
      </c>
    </row>
    <row r="202" spans="2:14" x14ac:dyDescent="0.25">
      <c r="B202" s="12" t="s">
        <v>670</v>
      </c>
      <c r="C202" s="13" t="s">
        <v>671</v>
      </c>
      <c r="D202" s="14" t="s">
        <v>15</v>
      </c>
      <c r="E202" s="14" t="s">
        <v>56</v>
      </c>
      <c r="F202" s="15">
        <v>42053</v>
      </c>
      <c r="G202" s="88">
        <v>0.75</v>
      </c>
      <c r="H202" s="15">
        <v>42151</v>
      </c>
      <c r="I202" s="88">
        <v>0.15</v>
      </c>
      <c r="J202" s="15">
        <v>42237</v>
      </c>
      <c r="K202" s="88">
        <v>0.15</v>
      </c>
      <c r="L202" s="15"/>
      <c r="M202" s="88"/>
      <c r="N202" s="89">
        <f t="shared" si="2"/>
        <v>1.05</v>
      </c>
    </row>
    <row r="203" spans="2:14" x14ac:dyDescent="0.25">
      <c r="B203" s="12" t="s">
        <v>490</v>
      </c>
      <c r="C203" s="13" t="s">
        <v>491</v>
      </c>
      <c r="D203" s="14" t="s">
        <v>15</v>
      </c>
      <c r="E203" s="14" t="s">
        <v>16</v>
      </c>
      <c r="F203" s="15">
        <v>42142</v>
      </c>
      <c r="G203" s="88">
        <v>0.08</v>
      </c>
      <c r="H203" s="15"/>
      <c r="I203" s="88"/>
      <c r="J203" s="15"/>
      <c r="K203" s="88"/>
      <c r="L203" s="15"/>
      <c r="M203" s="88"/>
      <c r="N203" s="89">
        <f t="shared" si="2"/>
        <v>0.08</v>
      </c>
    </row>
    <row r="204" spans="2:14" x14ac:dyDescent="0.25">
      <c r="B204" s="12" t="s">
        <v>492</v>
      </c>
      <c r="C204" s="13" t="s">
        <v>493</v>
      </c>
      <c r="D204" s="14" t="s">
        <v>15</v>
      </c>
      <c r="E204" s="14" t="s">
        <v>21</v>
      </c>
      <c r="F204" s="15">
        <v>42135</v>
      </c>
      <c r="G204" s="91">
        <v>0.49350500000000003</v>
      </c>
      <c r="H204" s="15"/>
      <c r="I204" s="88"/>
      <c r="J204" s="15"/>
      <c r="K204" s="88"/>
      <c r="L204" s="15"/>
      <c r="M204" s="88"/>
      <c r="N204" s="89">
        <f t="shared" si="2"/>
        <v>0.49350500000000003</v>
      </c>
    </row>
    <row r="205" spans="2:14" x14ac:dyDescent="0.25">
      <c r="B205" s="12" t="s">
        <v>494</v>
      </c>
      <c r="C205" s="13" t="s">
        <v>495</v>
      </c>
      <c r="D205" s="14" t="s">
        <v>27</v>
      </c>
      <c r="E205" s="14" t="s">
        <v>16</v>
      </c>
      <c r="F205" s="15">
        <v>42128</v>
      </c>
      <c r="G205" s="88">
        <v>1.06</v>
      </c>
      <c r="H205" s="15"/>
      <c r="I205" s="88"/>
      <c r="J205" s="15"/>
      <c r="K205" s="88"/>
      <c r="L205" s="15"/>
      <c r="M205" s="88"/>
      <c r="N205" s="89">
        <f t="shared" si="2"/>
        <v>1.06</v>
      </c>
    </row>
    <row r="206" spans="2:14" x14ac:dyDescent="0.25">
      <c r="B206" s="12" t="s">
        <v>496</v>
      </c>
      <c r="C206" s="13" t="s">
        <v>497</v>
      </c>
      <c r="D206" s="14" t="s">
        <v>27</v>
      </c>
      <c r="E206" s="14" t="s">
        <v>16</v>
      </c>
      <c r="F206" s="15">
        <v>42124</v>
      </c>
      <c r="G206" s="88">
        <v>0.5</v>
      </c>
      <c r="H206" s="15">
        <v>42248</v>
      </c>
      <c r="I206" s="88">
        <v>0.5</v>
      </c>
      <c r="J206" s="15"/>
      <c r="K206" s="88"/>
      <c r="L206" s="15"/>
      <c r="M206" s="88"/>
      <c r="N206" s="89">
        <f t="shared" si="2"/>
        <v>1</v>
      </c>
    </row>
    <row r="207" spans="2:14" x14ac:dyDescent="0.25">
      <c r="B207" s="12" t="s">
        <v>498</v>
      </c>
      <c r="C207" s="13" t="s">
        <v>499</v>
      </c>
      <c r="D207" s="14" t="s">
        <v>15</v>
      </c>
      <c r="E207" s="14" t="s">
        <v>16</v>
      </c>
      <c r="F207" s="15">
        <v>42087</v>
      </c>
      <c r="G207" s="88">
        <v>4.8</v>
      </c>
      <c r="H207" s="15">
        <v>42187</v>
      </c>
      <c r="I207" s="88">
        <v>4.8</v>
      </c>
      <c r="J207" s="15"/>
      <c r="K207" s="88"/>
      <c r="L207" s="15"/>
      <c r="M207" s="88"/>
      <c r="N207" s="89">
        <f t="shared" si="2"/>
        <v>9.6</v>
      </c>
    </row>
    <row r="208" spans="2:14" x14ac:dyDescent="0.25">
      <c r="B208" s="12" t="s">
        <v>500</v>
      </c>
      <c r="C208" s="13" t="s">
        <v>501</v>
      </c>
      <c r="D208" s="14" t="s">
        <v>15</v>
      </c>
      <c r="E208" s="14" t="s">
        <v>16</v>
      </c>
      <c r="F208" s="15">
        <v>42142</v>
      </c>
      <c r="G208" s="88">
        <v>0.12</v>
      </c>
      <c r="H208" s="15"/>
      <c r="I208" s="88"/>
      <c r="J208" s="15"/>
      <c r="K208" s="88"/>
      <c r="L208" s="15"/>
      <c r="M208" s="88"/>
      <c r="N208" s="89">
        <f t="shared" ref="N208:N225" si="3">G208+I208+K208+M208</f>
        <v>0.12</v>
      </c>
    </row>
    <row r="209" spans="2:14" x14ac:dyDescent="0.25">
      <c r="B209" s="12" t="s">
        <v>504</v>
      </c>
      <c r="C209" s="13" t="s">
        <v>505</v>
      </c>
      <c r="D209" s="14" t="s">
        <v>15</v>
      </c>
      <c r="E209" s="14" t="s">
        <v>16</v>
      </c>
      <c r="F209" s="15">
        <v>42040</v>
      </c>
      <c r="G209" s="88">
        <v>0.28499999999999998</v>
      </c>
      <c r="H209" s="15">
        <v>42117</v>
      </c>
      <c r="I209" s="88">
        <v>0.30199999999999999</v>
      </c>
      <c r="J209" s="15">
        <v>42222</v>
      </c>
      <c r="K209" s="88">
        <v>0.30199999999999999</v>
      </c>
      <c r="L209" s="15">
        <v>42306</v>
      </c>
      <c r="M209" s="88">
        <v>0.30199999999999999</v>
      </c>
      <c r="N209" s="89">
        <f t="shared" si="3"/>
        <v>1.1910000000000001</v>
      </c>
    </row>
    <row r="210" spans="2:14" x14ac:dyDescent="0.25">
      <c r="B210" s="12" t="s">
        <v>506</v>
      </c>
      <c r="C210" s="13" t="s">
        <v>507</v>
      </c>
      <c r="D210" s="14" t="s">
        <v>15</v>
      </c>
      <c r="E210" s="14" t="s">
        <v>77</v>
      </c>
      <c r="F210" s="15">
        <v>42040</v>
      </c>
      <c r="G210" s="88">
        <v>21.77</v>
      </c>
      <c r="H210" s="15">
        <v>42117</v>
      </c>
      <c r="I210" s="88">
        <v>21.8</v>
      </c>
      <c r="J210" s="15">
        <v>42222</v>
      </c>
      <c r="K210" s="88">
        <v>21.1</v>
      </c>
      <c r="L210" s="15">
        <v>42306</v>
      </c>
      <c r="M210" s="88">
        <v>22.59</v>
      </c>
      <c r="N210" s="89">
        <f t="shared" si="3"/>
        <v>87.26</v>
      </c>
    </row>
    <row r="211" spans="2:14" x14ac:dyDescent="0.25">
      <c r="B211" s="12" t="s">
        <v>508</v>
      </c>
      <c r="C211" s="13" t="s">
        <v>509</v>
      </c>
      <c r="D211" s="14" t="s">
        <v>15</v>
      </c>
      <c r="E211" s="14" t="s">
        <v>16</v>
      </c>
      <c r="F211" s="15">
        <v>42177</v>
      </c>
      <c r="G211" s="88">
        <v>0.17499999999999999</v>
      </c>
      <c r="H211" s="15"/>
      <c r="I211" s="88"/>
      <c r="J211" s="15"/>
      <c r="K211" s="88"/>
      <c r="L211" s="15"/>
      <c r="M211" s="88"/>
      <c r="N211" s="89">
        <f t="shared" si="3"/>
        <v>0.17499999999999999</v>
      </c>
    </row>
    <row r="212" spans="2:14" x14ac:dyDescent="0.25">
      <c r="B212" s="12" t="s">
        <v>512</v>
      </c>
      <c r="C212" s="13" t="s">
        <v>513</v>
      </c>
      <c r="D212" s="14" t="s">
        <v>24</v>
      </c>
      <c r="E212" s="14" t="s">
        <v>16</v>
      </c>
      <c r="F212" s="15">
        <v>42152</v>
      </c>
      <c r="G212" s="88">
        <v>2.2000000000000002</v>
      </c>
      <c r="H212" s="15"/>
      <c r="I212" s="88"/>
      <c r="J212" s="15"/>
      <c r="K212" s="88"/>
      <c r="L212" s="15"/>
      <c r="M212" s="88"/>
      <c r="N212" s="89">
        <f t="shared" si="3"/>
        <v>2.2000000000000002</v>
      </c>
    </row>
    <row r="213" spans="2:14" x14ac:dyDescent="0.25">
      <c r="B213" s="12" t="s">
        <v>514</v>
      </c>
      <c r="C213" s="13" t="s">
        <v>515</v>
      </c>
      <c r="D213" s="14" t="s">
        <v>24</v>
      </c>
      <c r="E213" s="14" t="s">
        <v>16</v>
      </c>
      <c r="F213" s="15">
        <v>42159</v>
      </c>
      <c r="G213" s="88">
        <v>0.81</v>
      </c>
      <c r="H213" s="15"/>
      <c r="I213" s="88"/>
      <c r="J213" s="15"/>
      <c r="K213" s="88"/>
      <c r="L213" s="15"/>
      <c r="M213" s="88"/>
      <c r="N213" s="89">
        <f t="shared" si="3"/>
        <v>0.81</v>
      </c>
    </row>
    <row r="214" spans="2:14" x14ac:dyDescent="0.25">
      <c r="B214" s="12" t="s">
        <v>516</v>
      </c>
      <c r="C214" s="13" t="s">
        <v>517</v>
      </c>
      <c r="D214" s="14" t="s">
        <v>24</v>
      </c>
      <c r="E214" s="14" t="s">
        <v>16</v>
      </c>
      <c r="F214" s="15">
        <v>42129</v>
      </c>
      <c r="G214" s="88">
        <v>0.7</v>
      </c>
      <c r="H214" s="15"/>
      <c r="I214" s="88"/>
      <c r="J214" s="15"/>
      <c r="K214" s="88"/>
      <c r="L214" s="15"/>
      <c r="M214" s="88"/>
      <c r="N214" s="89">
        <f t="shared" si="3"/>
        <v>0.7</v>
      </c>
    </row>
    <row r="215" spans="2:14" x14ac:dyDescent="0.25">
      <c r="B215" s="12" t="s">
        <v>520</v>
      </c>
      <c r="C215" s="13" t="s">
        <v>521</v>
      </c>
      <c r="D215" s="14" t="s">
        <v>24</v>
      </c>
      <c r="E215" s="14" t="s">
        <v>16</v>
      </c>
      <c r="F215" s="15">
        <v>42121</v>
      </c>
      <c r="G215" s="88">
        <v>1.22</v>
      </c>
      <c r="H215" s="15">
        <v>42318</v>
      </c>
      <c r="I215" s="88">
        <v>0.56999999999999995</v>
      </c>
      <c r="J215" s="15"/>
      <c r="K215" s="88"/>
      <c r="L215" s="15"/>
      <c r="M215" s="88"/>
      <c r="N215" s="89">
        <f t="shared" si="3"/>
        <v>1.79</v>
      </c>
    </row>
    <row r="216" spans="2:14" x14ac:dyDescent="0.25">
      <c r="B216" s="12" t="s">
        <v>524</v>
      </c>
      <c r="C216" s="13" t="s">
        <v>525</v>
      </c>
      <c r="D216" s="14" t="s">
        <v>24</v>
      </c>
      <c r="E216" s="14" t="s">
        <v>16</v>
      </c>
      <c r="F216" s="15">
        <v>42115</v>
      </c>
      <c r="G216" s="88">
        <v>1</v>
      </c>
      <c r="H216" s="15">
        <v>42180</v>
      </c>
      <c r="I216" s="88">
        <v>1</v>
      </c>
      <c r="J216" s="15"/>
      <c r="K216" s="88"/>
      <c r="L216" s="15"/>
      <c r="M216" s="88"/>
      <c r="N216" s="89">
        <f t="shared" si="3"/>
        <v>2</v>
      </c>
    </row>
    <row r="217" spans="2:14" x14ac:dyDescent="0.25">
      <c r="B217" s="12" t="s">
        <v>526</v>
      </c>
      <c r="C217" s="13" t="s">
        <v>527</v>
      </c>
      <c r="D217" s="14" t="s">
        <v>15</v>
      </c>
      <c r="E217" s="14" t="s">
        <v>77</v>
      </c>
      <c r="F217" s="15">
        <v>42166</v>
      </c>
      <c r="G217" s="88">
        <v>7.62</v>
      </c>
      <c r="H217" s="15">
        <v>42327</v>
      </c>
      <c r="I217" s="88">
        <v>3.68</v>
      </c>
      <c r="J217" s="15"/>
      <c r="K217" s="88"/>
      <c r="L217" s="15"/>
      <c r="M217" s="88"/>
      <c r="N217" s="89">
        <f t="shared" si="3"/>
        <v>11.3</v>
      </c>
    </row>
    <row r="218" spans="2:14" x14ac:dyDescent="0.25">
      <c r="B218" s="12" t="s">
        <v>528</v>
      </c>
      <c r="C218" s="13" t="s">
        <v>529</v>
      </c>
      <c r="D218" s="14" t="s">
        <v>15</v>
      </c>
      <c r="E218" s="14" t="s">
        <v>16</v>
      </c>
      <c r="F218" s="15">
        <v>42130</v>
      </c>
      <c r="G218" s="88">
        <v>4.8600000000000003</v>
      </c>
      <c r="H218" s="15"/>
      <c r="I218" s="88"/>
      <c r="J218" s="15"/>
      <c r="K218" s="88"/>
      <c r="L218" s="15"/>
      <c r="M218" s="88"/>
      <c r="N218" s="89">
        <f t="shared" si="3"/>
        <v>4.8600000000000003</v>
      </c>
    </row>
    <row r="219" spans="2:14" x14ac:dyDescent="0.25">
      <c r="B219" s="12" t="s">
        <v>532</v>
      </c>
      <c r="C219" s="13" t="s">
        <v>533</v>
      </c>
      <c r="D219" s="14" t="s">
        <v>15</v>
      </c>
      <c r="E219" s="14" t="s">
        <v>16</v>
      </c>
      <c r="F219" s="95" t="s">
        <v>660</v>
      </c>
      <c r="G219" s="96" t="s">
        <v>661</v>
      </c>
      <c r="H219" s="97"/>
      <c r="I219" s="98"/>
      <c r="J219" s="97"/>
      <c r="K219" s="98"/>
      <c r="L219" s="97"/>
      <c r="M219" s="98"/>
      <c r="N219" s="102"/>
    </row>
    <row r="220" spans="2:14" x14ac:dyDescent="0.25">
      <c r="B220" s="12" t="s">
        <v>534</v>
      </c>
      <c r="C220" s="13" t="s">
        <v>535</v>
      </c>
      <c r="D220" s="14" t="s">
        <v>15</v>
      </c>
      <c r="E220" s="14" t="s">
        <v>16</v>
      </c>
      <c r="F220" s="15">
        <v>42118</v>
      </c>
      <c r="G220" s="88">
        <v>0.9</v>
      </c>
      <c r="H220" s="15"/>
      <c r="I220" s="88"/>
      <c r="J220" s="15"/>
      <c r="K220" s="88"/>
      <c r="L220" s="15"/>
      <c r="M220" s="88"/>
      <c r="N220" s="89">
        <f t="shared" si="3"/>
        <v>0.9</v>
      </c>
    </row>
    <row r="221" spans="2:14" x14ac:dyDescent="0.25">
      <c r="B221" s="12" t="s">
        <v>540</v>
      </c>
      <c r="C221" s="13" t="s">
        <v>541</v>
      </c>
      <c r="D221" s="14" t="s">
        <v>15</v>
      </c>
      <c r="E221" s="14" t="s">
        <v>77</v>
      </c>
      <c r="F221" s="15">
        <v>42131</v>
      </c>
      <c r="G221" s="88">
        <v>9.6199999999999992</v>
      </c>
      <c r="H221" s="15">
        <v>42278</v>
      </c>
      <c r="I221" s="88">
        <v>1.5</v>
      </c>
      <c r="J221" s="15"/>
      <c r="K221" s="88"/>
      <c r="L221" s="15"/>
      <c r="M221" s="88"/>
      <c r="N221" s="89">
        <f t="shared" si="3"/>
        <v>11.12</v>
      </c>
    </row>
    <row r="222" spans="2:14" x14ac:dyDescent="0.25">
      <c r="B222" s="12" t="s">
        <v>542</v>
      </c>
      <c r="C222" s="13" t="s">
        <v>543</v>
      </c>
      <c r="D222" s="14" t="s">
        <v>15</v>
      </c>
      <c r="E222" s="14" t="s">
        <v>16</v>
      </c>
      <c r="F222" s="15">
        <v>42118</v>
      </c>
      <c r="G222" s="88">
        <v>0.71</v>
      </c>
      <c r="H222" s="15">
        <v>42271</v>
      </c>
      <c r="I222" s="88">
        <v>0.18</v>
      </c>
      <c r="J222" s="15"/>
      <c r="K222" s="88"/>
      <c r="L222" s="15"/>
      <c r="M222" s="88"/>
      <c r="N222" s="89">
        <f t="shared" si="3"/>
        <v>0.8899999999999999</v>
      </c>
    </row>
    <row r="223" spans="2:14" x14ac:dyDescent="0.25">
      <c r="B223" s="12" t="s">
        <v>544</v>
      </c>
      <c r="C223" s="13" t="s">
        <v>545</v>
      </c>
      <c r="D223" s="14" t="s">
        <v>15</v>
      </c>
      <c r="E223" s="14" t="s">
        <v>77</v>
      </c>
      <c r="F223" s="15">
        <v>42159</v>
      </c>
      <c r="G223" s="88">
        <v>26.58</v>
      </c>
      <c r="H223" s="15">
        <v>42285</v>
      </c>
      <c r="I223" s="88">
        <v>15.91</v>
      </c>
      <c r="J223" s="15"/>
      <c r="K223" s="88"/>
      <c r="L223" s="15"/>
      <c r="M223" s="88"/>
      <c r="N223" s="89">
        <f t="shared" si="3"/>
        <v>42.489999999999995</v>
      </c>
    </row>
    <row r="224" spans="2:14" x14ac:dyDescent="0.25">
      <c r="B224" s="12" t="s">
        <v>546</v>
      </c>
      <c r="C224" s="13" t="s">
        <v>547</v>
      </c>
      <c r="D224" s="14" t="s">
        <v>24</v>
      </c>
      <c r="E224" s="14" t="s">
        <v>16</v>
      </c>
      <c r="F224" s="15">
        <v>42024</v>
      </c>
      <c r="G224" s="88">
        <v>0.32</v>
      </c>
      <c r="H224" s="15"/>
      <c r="I224" s="88"/>
      <c r="J224" s="15"/>
      <c r="K224" s="88"/>
      <c r="L224" s="15"/>
      <c r="M224" s="88"/>
      <c r="N224" s="89">
        <f t="shared" si="3"/>
        <v>0.32</v>
      </c>
    </row>
    <row r="225" spans="2:14" x14ac:dyDescent="0.25">
      <c r="B225" s="12" t="s">
        <v>548</v>
      </c>
      <c r="C225" s="13" t="s">
        <v>549</v>
      </c>
      <c r="D225" s="14" t="s">
        <v>15</v>
      </c>
      <c r="E225" s="14" t="s">
        <v>21</v>
      </c>
      <c r="F225" s="15">
        <v>42101</v>
      </c>
      <c r="G225" s="88">
        <v>17</v>
      </c>
      <c r="H225" s="15"/>
      <c r="I225" s="88"/>
      <c r="J225" s="15"/>
      <c r="K225" s="88"/>
      <c r="L225" s="15"/>
      <c r="M225" s="88"/>
      <c r="N225" s="89">
        <f t="shared" si="3"/>
        <v>17</v>
      </c>
    </row>
    <row r="226" spans="2:14" x14ac:dyDescent="0.25"/>
    <row r="227" spans="2:14" x14ac:dyDescent="0.25"/>
    <row r="228" spans="2:14" x14ac:dyDescent="0.25"/>
    <row r="229" spans="2:14" x14ac:dyDescent="0.25"/>
    <row r="230" spans="2:14" x14ac:dyDescent="0.25"/>
    <row r="231" spans="2:14" x14ac:dyDescent="0.25"/>
    <row r="232" spans="2:14" x14ac:dyDescent="0.25"/>
  </sheetData>
  <sheetProtection algorithmName="SHA-512" hashValue="zMh3yXw/wFkPv1YyzgT4bbV8H8wDO7HygtBMOz7J3JMZz1ckex1onRGEgxwmTeF0ueFe9yBKIMqxqatmxjWqKg==" saltValue="2paWMZU52/zZRkMK5LbsLw==" spinCount="100000" sheet="1" objects="1" scenarios="1"/>
  <mergeCells count="2">
    <mergeCell ref="J9:K9"/>
    <mergeCell ref="E11:L11"/>
  </mergeCell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151B93-8C87-429D-BE70-E21815BE5274}">
  <dimension ref="A1:U344"/>
  <sheetViews>
    <sheetView showGridLines="0" tabSelected="1" zoomScale="85" zoomScaleNormal="85" workbookViewId="0">
      <pane xSplit="1" ySplit="12" topLeftCell="B320" activePane="bottomRight" state="frozen"/>
      <selection pane="topRight" activeCell="B1" sqref="B1"/>
      <selection pane="bottomLeft" activeCell="A13" sqref="A13"/>
      <selection pane="bottomRight" activeCell="J333" sqref="J333"/>
    </sheetView>
  </sheetViews>
  <sheetFormatPr defaultColWidth="0" defaultRowHeight="15" x14ac:dyDescent="0.25"/>
  <cols>
    <col min="1" max="1" width="3" customWidth="1"/>
    <col min="2" max="2" width="46.5703125" bestFit="1" customWidth="1"/>
    <col min="3" max="3" width="13.7109375" bestFit="1" customWidth="1"/>
    <col min="4" max="4" width="15.5703125" bestFit="1" customWidth="1"/>
    <col min="5" max="5" width="9.28515625" customWidth="1"/>
    <col min="6" max="6" width="9.7109375" customWidth="1"/>
    <col min="7" max="7" width="10.5703125" bestFit="1" customWidth="1"/>
    <col min="8" max="8" width="9.7109375" customWidth="1"/>
    <col min="9" max="9" width="9.28515625" customWidth="1"/>
    <col min="10" max="10" width="9.5703125" bestFit="1" customWidth="1"/>
    <col min="11" max="11" width="9.28515625" customWidth="1"/>
    <col min="12" max="12" width="10" customWidth="1"/>
    <col min="13" max="13" width="9.28515625" customWidth="1"/>
    <col min="14" max="14" width="10" customWidth="1"/>
    <col min="15" max="15" width="9.28515625" customWidth="1"/>
    <col min="16" max="16" width="0.5703125" customWidth="1"/>
    <col min="17" max="20" width="10.7109375" customWidth="1"/>
    <col min="21" max="21" width="3" customWidth="1"/>
    <col min="22" max="16384" width="9.28515625" hidden="1"/>
  </cols>
  <sheetData>
    <row r="1" spans="2:20" x14ac:dyDescent="0.25"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2:20" x14ac:dyDescent="0.25"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2:20" x14ac:dyDescent="0.25"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2:20" x14ac:dyDescent="0.25"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</row>
    <row r="5" spans="2:20" x14ac:dyDescent="0.25"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2:20" x14ac:dyDescent="0.25"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2:20" x14ac:dyDescent="0.25"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2:20" ht="49.5" customHeight="1" x14ac:dyDescent="0.25"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2:20" ht="15" customHeight="1" x14ac:dyDescent="0.25">
      <c r="H9" s="178"/>
      <c r="I9" s="178"/>
      <c r="J9" s="179"/>
      <c r="K9" s="179"/>
      <c r="L9" s="180" t="s">
        <v>0</v>
      </c>
      <c r="M9" s="180"/>
      <c r="N9" s="1"/>
      <c r="O9" s="2" t="s">
        <v>1</v>
      </c>
      <c r="P9" s="2"/>
      <c r="Q9" s="2"/>
      <c r="R9" s="2"/>
      <c r="S9" s="2"/>
      <c r="T9" s="3">
        <v>46080</v>
      </c>
    </row>
    <row r="10" spans="2:20" ht="3.75" customHeight="1" x14ac:dyDescent="0.25">
      <c r="F10" s="1"/>
      <c r="G10" s="1"/>
      <c r="H10" s="1"/>
      <c r="I10" s="1"/>
      <c r="J10" s="1"/>
      <c r="K10" s="1"/>
      <c r="L10" s="1"/>
      <c r="M10" s="1"/>
      <c r="N10" s="1"/>
      <c r="O10" s="2"/>
      <c r="P10" s="2"/>
      <c r="Q10" s="2"/>
      <c r="R10" s="2"/>
      <c r="S10" s="2"/>
      <c r="T10" s="3">
        <v>45600</v>
      </c>
    </row>
    <row r="11" spans="2:20" ht="50.25" customHeight="1" x14ac:dyDescent="0.25">
      <c r="B11" s="4" t="s">
        <v>2</v>
      </c>
      <c r="C11" s="5"/>
      <c r="D11" s="5"/>
      <c r="E11" s="5"/>
      <c r="F11" s="181" t="s">
        <v>969</v>
      </c>
      <c r="G11" s="181"/>
      <c r="H11" s="181"/>
      <c r="I11" s="181"/>
      <c r="J11" s="181"/>
      <c r="K11" s="181"/>
      <c r="L11" s="181"/>
      <c r="M11" s="181"/>
      <c r="N11" s="181"/>
      <c r="O11" s="181"/>
      <c r="P11" s="181"/>
      <c r="Q11" s="181"/>
      <c r="R11" s="181"/>
      <c r="S11" s="181"/>
      <c r="T11" s="177"/>
    </row>
    <row r="12" spans="2:20" x14ac:dyDescent="0.25">
      <c r="B12" s="7" t="s">
        <v>4</v>
      </c>
      <c r="C12" s="7" t="s">
        <v>5</v>
      </c>
      <c r="D12" s="7" t="s">
        <v>6</v>
      </c>
      <c r="E12" s="7" t="s">
        <v>7</v>
      </c>
      <c r="F12" s="8" t="s">
        <v>8</v>
      </c>
      <c r="G12" s="8"/>
      <c r="H12" s="8" t="s">
        <v>9</v>
      </c>
      <c r="I12" s="8"/>
      <c r="J12" s="8" t="s">
        <v>10</v>
      </c>
      <c r="K12" s="8"/>
      <c r="L12" s="8" t="s">
        <v>11</v>
      </c>
      <c r="M12" s="8"/>
      <c r="N12" s="8" t="s">
        <v>605</v>
      </c>
      <c r="O12" s="8"/>
      <c r="P12" s="8"/>
      <c r="Q12" s="8" t="s">
        <v>706</v>
      </c>
      <c r="R12" s="8" t="s">
        <v>707</v>
      </c>
      <c r="S12" s="8" t="s">
        <v>708</v>
      </c>
      <c r="T12" s="8" t="s">
        <v>705</v>
      </c>
    </row>
    <row r="13" spans="2:20" ht="6.75" customHeight="1" x14ac:dyDescent="0.25">
      <c r="B13" s="9"/>
      <c r="C13" s="9"/>
      <c r="D13" s="9"/>
      <c r="E13" s="10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</row>
    <row r="14" spans="2:20" x14ac:dyDescent="0.25">
      <c r="B14" s="117" t="s">
        <v>684</v>
      </c>
      <c r="C14" s="136" t="s">
        <v>18</v>
      </c>
      <c r="D14" s="14" t="s">
        <v>15</v>
      </c>
      <c r="E14" s="14" t="s">
        <v>16</v>
      </c>
      <c r="F14" s="15"/>
      <c r="G14" s="16"/>
      <c r="H14" s="15"/>
      <c r="I14" s="16"/>
      <c r="J14" s="15"/>
      <c r="K14" s="16"/>
      <c r="L14" s="15"/>
      <c r="M14" s="63"/>
      <c r="N14" s="17"/>
      <c r="O14" s="16"/>
      <c r="P14" s="16"/>
      <c r="Q14" s="152">
        <f t="shared" ref="Q14:Q77" si="0">IF(F14&lt;=Exp26Q1,G14,0)+IF(H14&lt;=Exp26Q1,I14,0)+IF(J14&lt;=Exp26Q1,K14,0)+IF(L14&lt;=Exp26Q1,M14,0)+IF(N14&lt;=Exp26Q1,O14,0)</f>
        <v>0</v>
      </c>
      <c r="R14" s="152">
        <f t="shared" ref="R14:R77" si="1">IF(F14&lt;=Exp26H1,G14,0)+IF(H14&lt;=Exp26H1,I14,0)+IF(J14&lt;=Exp26H1,K14,0)+IF(L14&lt;=Exp26H1,M14,0)+IF(N14&lt;=Exp26H1,O14,0)</f>
        <v>0</v>
      </c>
      <c r="S14" s="152">
        <f t="shared" ref="S14:S77" si="2">IF(F14&lt;=Exp26Q3,G14,0)+IF(H14&lt;=Exp26Q3,I14,0)+IF(J14&lt;=Exp26Q3,K14,0)+IF(L14&lt;=Exp26Q3,M14,0)+IF(N14&lt;=Exp26Q3,O14,0)</f>
        <v>0</v>
      </c>
      <c r="T14" s="18">
        <f t="shared" ref="T14:T77" si="3">G14+I14+K14+M14+O14</f>
        <v>0</v>
      </c>
    </row>
    <row r="15" spans="2:20" x14ac:dyDescent="0.25">
      <c r="B15" s="117" t="s">
        <v>19</v>
      </c>
      <c r="C15" s="136" t="s">
        <v>20</v>
      </c>
      <c r="D15" s="14" t="s">
        <v>15</v>
      </c>
      <c r="E15" s="14" t="s">
        <v>21</v>
      </c>
      <c r="F15" s="15"/>
      <c r="G15" s="16"/>
      <c r="H15" s="15"/>
      <c r="I15" s="16"/>
      <c r="J15" s="15"/>
      <c r="K15" s="16"/>
      <c r="L15" s="15"/>
      <c r="M15" s="63"/>
      <c r="N15" s="17"/>
      <c r="O15" s="16"/>
      <c r="P15" s="16"/>
      <c r="Q15" s="152">
        <f t="shared" si="0"/>
        <v>0</v>
      </c>
      <c r="R15" s="152">
        <f t="shared" si="1"/>
        <v>0</v>
      </c>
      <c r="S15" s="152">
        <f t="shared" si="2"/>
        <v>0</v>
      </c>
      <c r="T15" s="18">
        <f t="shared" si="3"/>
        <v>0</v>
      </c>
    </row>
    <row r="16" spans="2:20" x14ac:dyDescent="0.25">
      <c r="B16" s="117" t="s">
        <v>715</v>
      </c>
      <c r="C16" s="136" t="s">
        <v>716</v>
      </c>
      <c r="D16" s="14" t="s">
        <v>15</v>
      </c>
      <c r="E16" s="14" t="s">
        <v>16</v>
      </c>
      <c r="F16" s="15"/>
      <c r="G16" s="16"/>
      <c r="H16" s="15"/>
      <c r="I16" s="16"/>
      <c r="J16" s="15"/>
      <c r="K16" s="16"/>
      <c r="L16" s="15"/>
      <c r="M16" s="63"/>
      <c r="N16" s="17"/>
      <c r="O16" s="16"/>
      <c r="P16" s="16"/>
      <c r="Q16" s="152">
        <f t="shared" si="0"/>
        <v>0</v>
      </c>
      <c r="R16" s="152">
        <f t="shared" si="1"/>
        <v>0</v>
      </c>
      <c r="S16" s="152">
        <f t="shared" si="2"/>
        <v>0</v>
      </c>
      <c r="T16" s="18">
        <f t="shared" si="3"/>
        <v>0</v>
      </c>
    </row>
    <row r="17" spans="2:20" x14ac:dyDescent="0.25">
      <c r="B17" s="117" t="s">
        <v>22</v>
      </c>
      <c r="C17" s="136" t="s">
        <v>23</v>
      </c>
      <c r="D17" s="14" t="s">
        <v>24</v>
      </c>
      <c r="E17" s="14" t="s">
        <v>16</v>
      </c>
      <c r="F17" s="15"/>
      <c r="G17" s="16"/>
      <c r="H17" s="15"/>
      <c r="I17" s="16"/>
      <c r="J17" s="15"/>
      <c r="K17" s="16"/>
      <c r="L17" s="15"/>
      <c r="M17" s="63"/>
      <c r="N17" s="17"/>
      <c r="O17" s="16"/>
      <c r="P17" s="16"/>
      <c r="Q17" s="152">
        <f t="shared" si="0"/>
        <v>0</v>
      </c>
      <c r="R17" s="152">
        <f t="shared" si="1"/>
        <v>0</v>
      </c>
      <c r="S17" s="152">
        <f t="shared" si="2"/>
        <v>0</v>
      </c>
      <c r="T17" s="18">
        <f t="shared" si="3"/>
        <v>0</v>
      </c>
    </row>
    <row r="18" spans="2:20" x14ac:dyDescent="0.25">
      <c r="B18" s="117" t="s">
        <v>25</v>
      </c>
      <c r="C18" s="136" t="s">
        <v>26</v>
      </c>
      <c r="D18" s="14" t="s">
        <v>27</v>
      </c>
      <c r="E18" s="14" t="s">
        <v>16</v>
      </c>
      <c r="F18" s="15"/>
      <c r="G18" s="16"/>
      <c r="H18" s="15"/>
      <c r="I18" s="16"/>
      <c r="J18" s="15"/>
      <c r="K18" s="16"/>
      <c r="L18" s="15"/>
      <c r="M18" s="63"/>
      <c r="N18" s="17"/>
      <c r="O18" s="16"/>
      <c r="P18" s="16"/>
      <c r="Q18" s="152">
        <f t="shared" si="0"/>
        <v>0</v>
      </c>
      <c r="R18" s="152">
        <f t="shared" si="1"/>
        <v>0</v>
      </c>
      <c r="S18" s="152">
        <f t="shared" si="2"/>
        <v>0</v>
      </c>
      <c r="T18" s="18">
        <f t="shared" si="3"/>
        <v>0</v>
      </c>
    </row>
    <row r="19" spans="2:20" x14ac:dyDescent="0.25">
      <c r="B19" s="117" t="s">
        <v>863</v>
      </c>
      <c r="C19" s="136" t="s">
        <v>864</v>
      </c>
      <c r="D19" s="14" t="s">
        <v>15</v>
      </c>
      <c r="E19" s="14" t="s">
        <v>16</v>
      </c>
      <c r="F19" s="15">
        <v>46043</v>
      </c>
      <c r="G19" s="16">
        <v>0.45700000000000002</v>
      </c>
      <c r="H19" s="15"/>
      <c r="I19" s="16"/>
      <c r="J19" s="15"/>
      <c r="K19" s="16"/>
      <c r="L19" s="15"/>
      <c r="M19" s="63"/>
      <c r="N19" s="17"/>
      <c r="O19" s="16"/>
      <c r="P19" s="16"/>
      <c r="Q19" s="152">
        <f t="shared" si="0"/>
        <v>0.45700000000000002</v>
      </c>
      <c r="R19" s="152">
        <f t="shared" si="1"/>
        <v>0.45700000000000002</v>
      </c>
      <c r="S19" s="152">
        <f t="shared" si="2"/>
        <v>0.45700000000000002</v>
      </c>
      <c r="T19" s="18">
        <f t="shared" si="3"/>
        <v>0.45700000000000002</v>
      </c>
    </row>
    <row r="20" spans="2:20" x14ac:dyDescent="0.25">
      <c r="B20" s="117" t="s">
        <v>28</v>
      </c>
      <c r="C20" s="136" t="s">
        <v>29</v>
      </c>
      <c r="D20" s="14" t="s">
        <v>15</v>
      </c>
      <c r="E20" s="14" t="s">
        <v>21</v>
      </c>
      <c r="F20" s="15"/>
      <c r="G20" s="16"/>
      <c r="H20" s="15"/>
      <c r="I20" s="16"/>
      <c r="J20" s="15"/>
      <c r="K20" s="16"/>
      <c r="L20" s="15"/>
      <c r="M20" s="63"/>
      <c r="N20" s="17"/>
      <c r="O20" s="16"/>
      <c r="P20" s="16"/>
      <c r="Q20" s="152">
        <f t="shared" si="0"/>
        <v>0</v>
      </c>
      <c r="R20" s="152">
        <f t="shared" si="1"/>
        <v>0</v>
      </c>
      <c r="S20" s="152">
        <f t="shared" si="2"/>
        <v>0</v>
      </c>
      <c r="T20" s="18">
        <f t="shared" si="3"/>
        <v>0</v>
      </c>
    </row>
    <row r="21" spans="2:20" x14ac:dyDescent="0.25">
      <c r="B21" s="117" t="s">
        <v>30</v>
      </c>
      <c r="C21" s="136" t="s">
        <v>31</v>
      </c>
      <c r="D21" s="14" t="s">
        <v>15</v>
      </c>
      <c r="E21" s="14" t="s">
        <v>16</v>
      </c>
      <c r="F21" s="15"/>
      <c r="G21" s="16"/>
      <c r="H21" s="15"/>
      <c r="I21" s="16"/>
      <c r="J21" s="15"/>
      <c r="K21" s="16"/>
      <c r="L21" s="15"/>
      <c r="M21" s="63"/>
      <c r="N21" s="17"/>
      <c r="O21" s="16"/>
      <c r="P21" s="16"/>
      <c r="Q21" s="152">
        <f t="shared" si="0"/>
        <v>0</v>
      </c>
      <c r="R21" s="152">
        <f t="shared" si="1"/>
        <v>0</v>
      </c>
      <c r="S21" s="152">
        <f t="shared" si="2"/>
        <v>0</v>
      </c>
      <c r="T21" s="18">
        <f t="shared" si="3"/>
        <v>0</v>
      </c>
    </row>
    <row r="22" spans="2:20" x14ac:dyDescent="0.25">
      <c r="B22" s="117" t="s">
        <v>32</v>
      </c>
      <c r="C22" s="136" t="s">
        <v>33</v>
      </c>
      <c r="D22" s="14" t="s">
        <v>15</v>
      </c>
      <c r="E22" s="14" t="s">
        <v>16</v>
      </c>
      <c r="F22" s="15"/>
      <c r="G22" s="16"/>
      <c r="H22" s="15"/>
      <c r="I22" s="16"/>
      <c r="J22" s="15"/>
      <c r="K22" s="16"/>
      <c r="L22" s="15"/>
      <c r="M22" s="63"/>
      <c r="N22" s="17"/>
      <c r="O22" s="16"/>
      <c r="P22" s="16"/>
      <c r="Q22" s="152">
        <f t="shared" si="0"/>
        <v>0</v>
      </c>
      <c r="R22" s="152">
        <f t="shared" si="1"/>
        <v>0</v>
      </c>
      <c r="S22" s="152">
        <f t="shared" si="2"/>
        <v>0</v>
      </c>
      <c r="T22" s="18">
        <f t="shared" si="3"/>
        <v>0</v>
      </c>
    </row>
    <row r="23" spans="2:20" x14ac:dyDescent="0.25">
      <c r="B23" s="117" t="s">
        <v>630</v>
      </c>
      <c r="C23" s="136" t="s">
        <v>625</v>
      </c>
      <c r="D23" s="14" t="s">
        <v>15</v>
      </c>
      <c r="E23" s="14" t="s">
        <v>16</v>
      </c>
      <c r="F23" s="15"/>
      <c r="G23" s="16"/>
      <c r="H23" s="15"/>
      <c r="I23" s="16"/>
      <c r="J23" s="15"/>
      <c r="K23" s="16"/>
      <c r="L23" s="15"/>
      <c r="M23" s="63"/>
      <c r="N23" s="17"/>
      <c r="O23" s="16"/>
      <c r="P23" s="16"/>
      <c r="Q23" s="152">
        <f t="shared" si="0"/>
        <v>0</v>
      </c>
      <c r="R23" s="152">
        <f t="shared" si="1"/>
        <v>0</v>
      </c>
      <c r="S23" s="152">
        <f t="shared" si="2"/>
        <v>0</v>
      </c>
      <c r="T23" s="18">
        <f t="shared" si="3"/>
        <v>0</v>
      </c>
    </row>
    <row r="24" spans="2:20" x14ac:dyDescent="0.25">
      <c r="B24" s="117" t="s">
        <v>34</v>
      </c>
      <c r="C24" s="136" t="s">
        <v>35</v>
      </c>
      <c r="D24" s="14" t="s">
        <v>27</v>
      </c>
      <c r="E24" s="14" t="s">
        <v>16</v>
      </c>
      <c r="F24" s="15"/>
      <c r="G24" s="16"/>
      <c r="H24" s="15"/>
      <c r="I24" s="16"/>
      <c r="J24" s="15"/>
      <c r="K24" s="16"/>
      <c r="L24" s="15"/>
      <c r="M24" s="63"/>
      <c r="N24" s="17"/>
      <c r="O24" s="16"/>
      <c r="P24" s="16"/>
      <c r="Q24" s="152">
        <f t="shared" si="0"/>
        <v>0</v>
      </c>
      <c r="R24" s="152">
        <f t="shared" si="1"/>
        <v>0</v>
      </c>
      <c r="S24" s="152">
        <f t="shared" si="2"/>
        <v>0</v>
      </c>
      <c r="T24" s="18">
        <f t="shared" si="3"/>
        <v>0</v>
      </c>
    </row>
    <row r="25" spans="2:20" x14ac:dyDescent="0.25">
      <c r="B25" s="117" t="s">
        <v>36</v>
      </c>
      <c r="C25" s="136" t="s">
        <v>37</v>
      </c>
      <c r="D25" s="14" t="s">
        <v>15</v>
      </c>
      <c r="E25" s="14" t="s">
        <v>16</v>
      </c>
      <c r="F25" s="15"/>
      <c r="G25" s="16"/>
      <c r="H25" s="15"/>
      <c r="I25" s="16"/>
      <c r="J25" s="15"/>
      <c r="K25" s="16"/>
      <c r="L25" s="15"/>
      <c r="M25" s="63"/>
      <c r="N25" s="17"/>
      <c r="O25" s="16"/>
      <c r="P25" s="16"/>
      <c r="Q25" s="152">
        <f t="shared" si="0"/>
        <v>0</v>
      </c>
      <c r="R25" s="152">
        <f t="shared" si="1"/>
        <v>0</v>
      </c>
      <c r="S25" s="152">
        <f t="shared" si="2"/>
        <v>0</v>
      </c>
      <c r="T25" s="18">
        <f t="shared" si="3"/>
        <v>0</v>
      </c>
    </row>
    <row r="26" spans="2:20" x14ac:dyDescent="0.25">
      <c r="B26" s="117" t="s">
        <v>41</v>
      </c>
      <c r="C26" s="136" t="s">
        <v>42</v>
      </c>
      <c r="D26" s="14" t="s">
        <v>24</v>
      </c>
      <c r="E26" s="14" t="s">
        <v>16</v>
      </c>
      <c r="F26" s="15"/>
      <c r="G26" s="16"/>
      <c r="H26" s="15"/>
      <c r="I26" s="16"/>
      <c r="J26" s="15"/>
      <c r="K26" s="16"/>
      <c r="L26" s="15"/>
      <c r="M26" s="63"/>
      <c r="N26" s="17"/>
      <c r="O26" s="16"/>
      <c r="P26" s="16"/>
      <c r="Q26" s="152">
        <f t="shared" si="0"/>
        <v>0</v>
      </c>
      <c r="R26" s="152">
        <f t="shared" si="1"/>
        <v>0</v>
      </c>
      <c r="S26" s="152">
        <f t="shared" si="2"/>
        <v>0</v>
      </c>
      <c r="T26" s="18">
        <f t="shared" si="3"/>
        <v>0</v>
      </c>
    </row>
    <row r="27" spans="2:20" x14ac:dyDescent="0.25">
      <c r="B27" s="117" t="s">
        <v>43</v>
      </c>
      <c r="C27" s="136" t="s">
        <v>44</v>
      </c>
      <c r="D27" s="14" t="s">
        <v>24</v>
      </c>
      <c r="E27" s="14" t="s">
        <v>16</v>
      </c>
      <c r="F27" s="15"/>
      <c r="G27" s="16"/>
      <c r="H27" s="15"/>
      <c r="I27" s="16"/>
      <c r="J27" s="15"/>
      <c r="K27" s="16"/>
      <c r="L27" s="15"/>
      <c r="M27" s="63"/>
      <c r="N27" s="17"/>
      <c r="O27" s="16"/>
      <c r="P27" s="16"/>
      <c r="Q27" s="152">
        <f t="shared" si="0"/>
        <v>0</v>
      </c>
      <c r="R27" s="152">
        <f t="shared" si="1"/>
        <v>0</v>
      </c>
      <c r="S27" s="152">
        <f t="shared" si="2"/>
        <v>0</v>
      </c>
      <c r="T27" s="18">
        <f t="shared" si="3"/>
        <v>0</v>
      </c>
    </row>
    <row r="28" spans="2:20" x14ac:dyDescent="0.25">
      <c r="B28" s="117" t="s">
        <v>930</v>
      </c>
      <c r="C28" s="136" t="s">
        <v>931</v>
      </c>
      <c r="D28" s="14" t="s">
        <v>15</v>
      </c>
      <c r="E28" s="14" t="s">
        <v>56</v>
      </c>
      <c r="F28" s="15">
        <v>46069</v>
      </c>
      <c r="G28" s="16">
        <v>0.66149999999999998</v>
      </c>
      <c r="H28" s="15"/>
      <c r="I28" s="16"/>
      <c r="J28" s="15"/>
      <c r="K28" s="16"/>
      <c r="L28" s="15"/>
      <c r="M28" s="63"/>
      <c r="N28" s="17"/>
      <c r="O28" s="16"/>
      <c r="P28" s="16"/>
      <c r="Q28" s="152">
        <f t="shared" si="0"/>
        <v>0.66149999999999998</v>
      </c>
      <c r="R28" s="152">
        <f t="shared" si="1"/>
        <v>0.66149999999999998</v>
      </c>
      <c r="S28" s="152">
        <f t="shared" si="2"/>
        <v>0.66149999999999998</v>
      </c>
      <c r="T28" s="18">
        <f t="shared" si="3"/>
        <v>0.66149999999999998</v>
      </c>
    </row>
    <row r="29" spans="2:20" x14ac:dyDescent="0.25">
      <c r="B29" s="117" t="s">
        <v>45</v>
      </c>
      <c r="C29" s="136" t="s">
        <v>46</v>
      </c>
      <c r="D29" s="14" t="s">
        <v>15</v>
      </c>
      <c r="E29" s="14" t="s">
        <v>16</v>
      </c>
      <c r="F29" s="15"/>
      <c r="G29" s="16"/>
      <c r="H29" s="15"/>
      <c r="I29" s="16"/>
      <c r="J29" s="15"/>
      <c r="K29" s="16"/>
      <c r="L29" s="15"/>
      <c r="M29" s="63"/>
      <c r="N29" s="17"/>
      <c r="O29" s="16"/>
      <c r="P29" s="16"/>
      <c r="Q29" s="152">
        <f t="shared" si="0"/>
        <v>0</v>
      </c>
      <c r="R29" s="152">
        <f t="shared" si="1"/>
        <v>0</v>
      </c>
      <c r="S29" s="152">
        <f t="shared" si="2"/>
        <v>0</v>
      </c>
      <c r="T29" s="18">
        <f t="shared" si="3"/>
        <v>0</v>
      </c>
    </row>
    <row r="30" spans="2:20" x14ac:dyDescent="0.25">
      <c r="B30" s="117" t="s">
        <v>828</v>
      </c>
      <c r="C30" s="136" t="s">
        <v>829</v>
      </c>
      <c r="D30" s="14" t="s">
        <v>15</v>
      </c>
      <c r="E30" s="14" t="s">
        <v>200</v>
      </c>
      <c r="F30" s="15"/>
      <c r="G30" s="16"/>
      <c r="H30" s="15"/>
      <c r="I30" s="16"/>
      <c r="J30" s="15"/>
      <c r="K30" s="16"/>
      <c r="L30" s="15"/>
      <c r="M30" s="63"/>
      <c r="N30" s="17"/>
      <c r="O30" s="16"/>
      <c r="P30" s="16"/>
      <c r="Q30" s="152">
        <f t="shared" si="0"/>
        <v>0</v>
      </c>
      <c r="R30" s="152">
        <f t="shared" si="1"/>
        <v>0</v>
      </c>
      <c r="S30" s="152">
        <f t="shared" si="2"/>
        <v>0</v>
      </c>
      <c r="T30" s="18">
        <f t="shared" si="3"/>
        <v>0</v>
      </c>
    </row>
    <row r="31" spans="2:20" x14ac:dyDescent="0.25">
      <c r="B31" s="117" t="s">
        <v>47</v>
      </c>
      <c r="C31" s="136" t="s">
        <v>48</v>
      </c>
      <c r="D31" s="14" t="s">
        <v>15</v>
      </c>
      <c r="E31" s="14" t="s">
        <v>16</v>
      </c>
      <c r="F31" s="15"/>
      <c r="G31" s="16"/>
      <c r="H31" s="15"/>
      <c r="I31" s="16"/>
      <c r="J31" s="15"/>
      <c r="K31" s="16"/>
      <c r="L31" s="15"/>
      <c r="M31" s="63"/>
      <c r="N31" s="17"/>
      <c r="O31" s="16"/>
      <c r="P31" s="16"/>
      <c r="Q31" s="152">
        <f t="shared" si="0"/>
        <v>0</v>
      </c>
      <c r="R31" s="152">
        <f t="shared" si="1"/>
        <v>0</v>
      </c>
      <c r="S31" s="152">
        <f t="shared" si="2"/>
        <v>0</v>
      </c>
      <c r="T31" s="18">
        <f t="shared" si="3"/>
        <v>0</v>
      </c>
    </row>
    <row r="32" spans="2:20" x14ac:dyDescent="0.25">
      <c r="B32" s="117" t="s">
        <v>49</v>
      </c>
      <c r="C32" s="136" t="s">
        <v>50</v>
      </c>
      <c r="D32" s="14" t="s">
        <v>24</v>
      </c>
      <c r="E32" s="14" t="s">
        <v>16</v>
      </c>
      <c r="F32" s="15"/>
      <c r="G32" s="16"/>
      <c r="H32" s="15"/>
      <c r="I32" s="16"/>
      <c r="J32" s="15"/>
      <c r="K32" s="16"/>
      <c r="L32" s="15"/>
      <c r="M32" s="63"/>
      <c r="N32" s="17"/>
      <c r="O32" s="16"/>
      <c r="P32" s="16"/>
      <c r="Q32" s="152">
        <f t="shared" si="0"/>
        <v>0</v>
      </c>
      <c r="R32" s="152">
        <f t="shared" si="1"/>
        <v>0</v>
      </c>
      <c r="S32" s="152">
        <f t="shared" si="2"/>
        <v>0</v>
      </c>
      <c r="T32" s="18">
        <f t="shared" si="3"/>
        <v>0</v>
      </c>
    </row>
    <row r="33" spans="1:21" x14ac:dyDescent="0.25">
      <c r="B33" s="117" t="s">
        <v>51</v>
      </c>
      <c r="C33" s="136" t="s">
        <v>52</v>
      </c>
      <c r="D33" s="14" t="s">
        <v>15</v>
      </c>
      <c r="E33" s="14" t="s">
        <v>16</v>
      </c>
      <c r="F33" s="15">
        <v>46036</v>
      </c>
      <c r="G33" s="16">
        <v>0.53</v>
      </c>
      <c r="H33" s="15"/>
      <c r="I33" s="16"/>
      <c r="J33" s="15"/>
      <c r="K33" s="16"/>
      <c r="L33" s="15"/>
      <c r="M33" s="63"/>
      <c r="N33" s="17"/>
      <c r="O33" s="16"/>
      <c r="P33" s="16"/>
      <c r="Q33" s="152">
        <f t="shared" si="0"/>
        <v>0.53</v>
      </c>
      <c r="R33" s="152">
        <f t="shared" si="1"/>
        <v>0.53</v>
      </c>
      <c r="S33" s="152">
        <f t="shared" si="2"/>
        <v>0.53</v>
      </c>
      <c r="T33" s="18">
        <f t="shared" si="3"/>
        <v>0.53</v>
      </c>
    </row>
    <row r="34" spans="1:21" x14ac:dyDescent="0.25">
      <c r="B34" s="117" t="s">
        <v>896</v>
      </c>
      <c r="C34" s="136" t="s">
        <v>897</v>
      </c>
      <c r="D34" s="14" t="s">
        <v>15</v>
      </c>
      <c r="E34" s="14" t="s">
        <v>16</v>
      </c>
      <c r="F34" s="15"/>
      <c r="G34" s="16"/>
      <c r="H34" s="15"/>
      <c r="I34" s="16"/>
      <c r="J34" s="15"/>
      <c r="K34" s="16"/>
      <c r="L34" s="15"/>
      <c r="M34" s="63"/>
      <c r="N34" s="17"/>
      <c r="O34" s="16"/>
      <c r="P34" s="16"/>
      <c r="Q34" s="152">
        <f t="shared" si="0"/>
        <v>0</v>
      </c>
      <c r="R34" s="152">
        <f t="shared" si="1"/>
        <v>0</v>
      </c>
      <c r="S34" s="152">
        <f t="shared" si="2"/>
        <v>0</v>
      </c>
      <c r="T34" s="18">
        <f t="shared" si="3"/>
        <v>0</v>
      </c>
    </row>
    <row r="35" spans="1:21" x14ac:dyDescent="0.25">
      <c r="B35" s="117" t="s">
        <v>886</v>
      </c>
      <c r="C35" s="136" t="s">
        <v>887</v>
      </c>
      <c r="D35" s="14" t="s">
        <v>15</v>
      </c>
      <c r="E35" s="14" t="s">
        <v>16</v>
      </c>
      <c r="F35" s="15"/>
      <c r="G35" s="16"/>
      <c r="H35" s="15"/>
      <c r="I35" s="16"/>
      <c r="J35" s="15"/>
      <c r="K35" s="16"/>
      <c r="L35" s="15"/>
      <c r="M35" s="63"/>
      <c r="N35" s="17"/>
      <c r="O35" s="16"/>
      <c r="P35" s="16"/>
      <c r="Q35" s="152">
        <f t="shared" si="0"/>
        <v>0</v>
      </c>
      <c r="R35" s="152">
        <f t="shared" si="1"/>
        <v>0</v>
      </c>
      <c r="S35" s="152">
        <f t="shared" si="2"/>
        <v>0</v>
      </c>
      <c r="T35" s="18">
        <f t="shared" si="3"/>
        <v>0</v>
      </c>
    </row>
    <row r="36" spans="1:21" x14ac:dyDescent="0.25">
      <c r="B36" s="117" t="s">
        <v>57</v>
      </c>
      <c r="C36" s="136" t="s">
        <v>58</v>
      </c>
      <c r="D36" s="14" t="s">
        <v>15</v>
      </c>
      <c r="E36" s="14" t="s">
        <v>56</v>
      </c>
      <c r="F36" s="15"/>
      <c r="G36" s="16"/>
      <c r="H36" s="15"/>
      <c r="I36" s="16"/>
      <c r="J36" s="15"/>
      <c r="K36" s="16"/>
      <c r="L36" s="15"/>
      <c r="M36" s="63"/>
      <c r="N36" s="17"/>
      <c r="O36" s="16"/>
      <c r="P36" s="16"/>
      <c r="Q36" s="152">
        <f t="shared" si="0"/>
        <v>0</v>
      </c>
      <c r="R36" s="152">
        <f t="shared" si="1"/>
        <v>0</v>
      </c>
      <c r="S36" s="152">
        <f t="shared" si="2"/>
        <v>0</v>
      </c>
      <c r="T36" s="18">
        <f t="shared" si="3"/>
        <v>0</v>
      </c>
    </row>
    <row r="37" spans="1:21" x14ac:dyDescent="0.25">
      <c r="B37" s="117" t="s">
        <v>59</v>
      </c>
      <c r="C37" s="136" t="s">
        <v>60</v>
      </c>
      <c r="D37" s="14" t="s">
        <v>27</v>
      </c>
      <c r="E37" s="14" t="s">
        <v>16</v>
      </c>
      <c r="F37" s="15"/>
      <c r="G37" s="16"/>
      <c r="H37" s="15"/>
      <c r="I37" s="16"/>
      <c r="J37" s="15"/>
      <c r="K37" s="16"/>
      <c r="L37" s="15"/>
      <c r="M37" s="63"/>
      <c r="N37" s="17"/>
      <c r="O37" s="16"/>
      <c r="P37" s="16"/>
      <c r="Q37" s="152">
        <f t="shared" si="0"/>
        <v>0</v>
      </c>
      <c r="R37" s="152">
        <f t="shared" si="1"/>
        <v>0</v>
      </c>
      <c r="S37" s="152">
        <f t="shared" si="2"/>
        <v>0</v>
      </c>
      <c r="T37" s="18">
        <f t="shared" si="3"/>
        <v>0</v>
      </c>
    </row>
    <row r="38" spans="1:21" x14ac:dyDescent="0.25">
      <c r="B38" s="117" t="s">
        <v>912</v>
      </c>
      <c r="C38" s="136" t="s">
        <v>910</v>
      </c>
      <c r="D38" s="14" t="s">
        <v>15</v>
      </c>
      <c r="E38" s="14" t="s">
        <v>911</v>
      </c>
      <c r="F38" s="15"/>
      <c r="G38" s="16"/>
      <c r="H38" s="15"/>
      <c r="I38" s="16"/>
      <c r="J38" s="15"/>
      <c r="K38" s="16"/>
      <c r="L38" s="15"/>
      <c r="M38" s="63"/>
      <c r="N38" s="17"/>
      <c r="O38" s="16"/>
      <c r="P38" s="16"/>
      <c r="Q38" s="152">
        <f t="shared" si="0"/>
        <v>0</v>
      </c>
      <c r="R38" s="152">
        <f t="shared" si="1"/>
        <v>0</v>
      </c>
      <c r="S38" s="152">
        <f t="shared" si="2"/>
        <v>0</v>
      </c>
      <c r="T38" s="18">
        <f t="shared" si="3"/>
        <v>0</v>
      </c>
    </row>
    <row r="39" spans="1:21" x14ac:dyDescent="0.25">
      <c r="B39" s="117" t="s">
        <v>63</v>
      </c>
      <c r="C39" s="136" t="s">
        <v>64</v>
      </c>
      <c r="D39" s="14" t="s">
        <v>15</v>
      </c>
      <c r="E39" s="14" t="s">
        <v>16</v>
      </c>
      <c r="F39" s="15">
        <v>46065</v>
      </c>
      <c r="G39" s="16">
        <v>0.15</v>
      </c>
      <c r="H39" s="15"/>
      <c r="I39" s="16"/>
      <c r="J39" s="15"/>
      <c r="K39" s="16"/>
      <c r="L39" s="15"/>
      <c r="M39" s="63"/>
      <c r="N39" s="17"/>
      <c r="O39" s="16"/>
      <c r="P39" s="16"/>
      <c r="Q39" s="152">
        <f t="shared" si="0"/>
        <v>0.15</v>
      </c>
      <c r="R39" s="152">
        <f t="shared" si="1"/>
        <v>0.15</v>
      </c>
      <c r="S39" s="152">
        <f t="shared" si="2"/>
        <v>0.15</v>
      </c>
      <c r="T39" s="18">
        <f t="shared" si="3"/>
        <v>0.15</v>
      </c>
    </row>
    <row r="40" spans="1:21" x14ac:dyDescent="0.25">
      <c r="A40" s="33"/>
      <c r="B40" s="117" t="s">
        <v>65</v>
      </c>
      <c r="C40" s="136" t="s">
        <v>66</v>
      </c>
      <c r="D40" s="14" t="s">
        <v>15</v>
      </c>
      <c r="E40" s="14" t="s">
        <v>16</v>
      </c>
      <c r="F40" s="15">
        <v>46062</v>
      </c>
      <c r="G40" s="16">
        <v>1.6</v>
      </c>
      <c r="H40" s="15"/>
      <c r="I40" s="16"/>
      <c r="J40" s="15"/>
      <c r="K40" s="16"/>
      <c r="L40" s="15"/>
      <c r="M40" s="63"/>
      <c r="N40" s="17"/>
      <c r="O40" s="16"/>
      <c r="P40" s="16"/>
      <c r="Q40" s="152">
        <f t="shared" si="0"/>
        <v>1.6</v>
      </c>
      <c r="R40" s="152">
        <f t="shared" si="1"/>
        <v>1.6</v>
      </c>
      <c r="S40" s="152">
        <f t="shared" si="2"/>
        <v>1.6</v>
      </c>
      <c r="T40" s="18">
        <f t="shared" si="3"/>
        <v>1.6</v>
      </c>
      <c r="U40" s="36"/>
    </row>
    <row r="41" spans="1:21" x14ac:dyDescent="0.25">
      <c r="B41" s="117" t="s">
        <v>782</v>
      </c>
      <c r="C41" s="136" t="s">
        <v>783</v>
      </c>
      <c r="D41" s="14" t="s">
        <v>15</v>
      </c>
      <c r="E41" s="14" t="s">
        <v>16</v>
      </c>
      <c r="F41" s="15"/>
      <c r="G41" s="16"/>
      <c r="H41" s="15"/>
      <c r="I41" s="16"/>
      <c r="J41" s="15"/>
      <c r="K41" s="16"/>
      <c r="L41" s="15"/>
      <c r="M41" s="63"/>
      <c r="N41" s="17"/>
      <c r="O41" s="16"/>
      <c r="P41" s="16"/>
      <c r="Q41" s="152">
        <f t="shared" si="0"/>
        <v>0</v>
      </c>
      <c r="R41" s="152">
        <f t="shared" si="1"/>
        <v>0</v>
      </c>
      <c r="S41" s="152">
        <f t="shared" si="2"/>
        <v>0</v>
      </c>
      <c r="T41" s="18">
        <f t="shared" si="3"/>
        <v>0</v>
      </c>
    </row>
    <row r="42" spans="1:21" x14ac:dyDescent="0.25">
      <c r="B42" s="117" t="s">
        <v>830</v>
      </c>
      <c r="C42" s="136" t="s">
        <v>831</v>
      </c>
      <c r="D42" s="14" t="s">
        <v>15</v>
      </c>
      <c r="E42" s="14" t="s">
        <v>200</v>
      </c>
      <c r="F42" s="15"/>
      <c r="G42" s="16"/>
      <c r="H42" s="15"/>
      <c r="I42" s="16"/>
      <c r="J42" s="15"/>
      <c r="K42" s="16"/>
      <c r="L42" s="15"/>
      <c r="M42" s="63"/>
      <c r="N42" s="17"/>
      <c r="O42" s="16"/>
      <c r="P42" s="16"/>
      <c r="Q42" s="152">
        <f t="shared" si="0"/>
        <v>0</v>
      </c>
      <c r="R42" s="152">
        <f t="shared" si="1"/>
        <v>0</v>
      </c>
      <c r="S42" s="152">
        <f t="shared" si="2"/>
        <v>0</v>
      </c>
      <c r="T42" s="18">
        <f t="shared" si="3"/>
        <v>0</v>
      </c>
    </row>
    <row r="43" spans="1:21" x14ac:dyDescent="0.25">
      <c r="A43" s="33"/>
      <c r="B43" s="117" t="s">
        <v>69</v>
      </c>
      <c r="C43" s="136" t="s">
        <v>70</v>
      </c>
      <c r="D43" s="14" t="s">
        <v>15</v>
      </c>
      <c r="E43" s="14" t="s">
        <v>56</v>
      </c>
      <c r="F43" s="15">
        <v>46072</v>
      </c>
      <c r="G43" s="16">
        <v>2.17</v>
      </c>
      <c r="H43" s="15"/>
      <c r="I43" s="16"/>
      <c r="J43" s="15"/>
      <c r="K43" s="16"/>
      <c r="L43" s="15"/>
      <c r="M43" s="63"/>
      <c r="N43" s="17"/>
      <c r="O43" s="16"/>
      <c r="P43" s="16"/>
      <c r="Q43" s="152">
        <f t="shared" si="0"/>
        <v>2.17</v>
      </c>
      <c r="R43" s="152">
        <f t="shared" si="1"/>
        <v>2.17</v>
      </c>
      <c r="S43" s="152">
        <f t="shared" si="2"/>
        <v>2.17</v>
      </c>
      <c r="T43" s="18">
        <f t="shared" si="3"/>
        <v>2.17</v>
      </c>
      <c r="U43" s="36"/>
    </row>
    <row r="44" spans="1:21" x14ac:dyDescent="0.25">
      <c r="A44" s="33"/>
      <c r="B44" s="117" t="s">
        <v>826</v>
      </c>
      <c r="C44" s="136" t="s">
        <v>827</v>
      </c>
      <c r="D44" s="14" t="s">
        <v>15</v>
      </c>
      <c r="E44" s="14" t="s">
        <v>200</v>
      </c>
      <c r="F44" s="15"/>
      <c r="G44" s="16"/>
      <c r="H44" s="15"/>
      <c r="I44" s="16"/>
      <c r="J44" s="15"/>
      <c r="K44" s="16"/>
      <c r="L44" s="15"/>
      <c r="M44" s="63"/>
      <c r="N44" s="17"/>
      <c r="O44" s="16"/>
      <c r="P44" s="16"/>
      <c r="Q44" s="152">
        <f t="shared" si="0"/>
        <v>0</v>
      </c>
      <c r="R44" s="152">
        <f t="shared" si="1"/>
        <v>0</v>
      </c>
      <c r="S44" s="152">
        <f t="shared" si="2"/>
        <v>0</v>
      </c>
      <c r="T44" s="18">
        <f t="shared" si="3"/>
        <v>0</v>
      </c>
      <c r="U44" s="36"/>
    </row>
    <row r="45" spans="1:21" x14ac:dyDescent="0.25">
      <c r="A45" s="33"/>
      <c r="B45" s="117" t="s">
        <v>898</v>
      </c>
      <c r="C45" s="136" t="s">
        <v>899</v>
      </c>
      <c r="D45" s="14" t="s">
        <v>15</v>
      </c>
      <c r="E45" s="14" t="s">
        <v>16</v>
      </c>
      <c r="F45" s="15">
        <v>46066</v>
      </c>
      <c r="G45" s="16">
        <v>1.6</v>
      </c>
      <c r="H45" s="15"/>
      <c r="I45" s="16"/>
      <c r="J45" s="15"/>
      <c r="K45" s="16"/>
      <c r="L45" s="15"/>
      <c r="M45" s="63"/>
      <c r="N45" s="17"/>
      <c r="O45" s="16"/>
      <c r="P45" s="16"/>
      <c r="Q45" s="152">
        <f t="shared" si="0"/>
        <v>1.6</v>
      </c>
      <c r="R45" s="152">
        <f t="shared" si="1"/>
        <v>1.6</v>
      </c>
      <c r="S45" s="152">
        <f t="shared" si="2"/>
        <v>1.6</v>
      </c>
      <c r="T45" s="18">
        <f t="shared" si="3"/>
        <v>1.6</v>
      </c>
      <c r="U45" s="36"/>
    </row>
    <row r="46" spans="1:21" x14ac:dyDescent="0.25">
      <c r="A46" s="33"/>
      <c r="B46" s="117" t="s">
        <v>75</v>
      </c>
      <c r="C46" s="136" t="s">
        <v>76</v>
      </c>
      <c r="D46" s="14" t="s">
        <v>15</v>
      </c>
      <c r="E46" s="14" t="s">
        <v>761</v>
      </c>
      <c r="F46" s="15"/>
      <c r="G46" s="16"/>
      <c r="H46" s="15"/>
      <c r="I46" s="16"/>
      <c r="J46" s="15"/>
      <c r="K46" s="16"/>
      <c r="L46" s="15"/>
      <c r="M46" s="63"/>
      <c r="N46" s="17"/>
      <c r="O46" s="16"/>
      <c r="P46" s="16"/>
      <c r="Q46" s="152">
        <f t="shared" si="0"/>
        <v>0</v>
      </c>
      <c r="R46" s="152">
        <f t="shared" si="1"/>
        <v>0</v>
      </c>
      <c r="S46" s="152">
        <f t="shared" si="2"/>
        <v>0</v>
      </c>
      <c r="T46" s="18">
        <f t="shared" si="3"/>
        <v>0</v>
      </c>
      <c r="U46" s="36"/>
    </row>
    <row r="47" spans="1:21" x14ac:dyDescent="0.25">
      <c r="A47" s="33"/>
      <c r="B47" s="117" t="s">
        <v>78</v>
      </c>
      <c r="C47" s="136" t="s">
        <v>79</v>
      </c>
      <c r="D47" s="14" t="s">
        <v>24</v>
      </c>
      <c r="E47" s="14" t="s">
        <v>16</v>
      </c>
      <c r="F47" s="15"/>
      <c r="G47" s="16"/>
      <c r="H47" s="15"/>
      <c r="I47" s="16"/>
      <c r="J47" s="15"/>
      <c r="K47" s="16"/>
      <c r="L47" s="15"/>
      <c r="M47" s="63"/>
      <c r="N47" s="17"/>
      <c r="O47" s="16"/>
      <c r="P47" s="16"/>
      <c r="Q47" s="152">
        <f t="shared" si="0"/>
        <v>0</v>
      </c>
      <c r="R47" s="152">
        <f t="shared" si="1"/>
        <v>0</v>
      </c>
      <c r="S47" s="152">
        <f t="shared" si="2"/>
        <v>0</v>
      </c>
      <c r="T47" s="18">
        <f t="shared" si="3"/>
        <v>0</v>
      </c>
      <c r="U47" s="36"/>
    </row>
    <row r="48" spans="1:21" x14ac:dyDescent="0.25">
      <c r="B48" s="117" t="s">
        <v>82</v>
      </c>
      <c r="C48" s="136" t="s">
        <v>83</v>
      </c>
      <c r="D48" s="14" t="s">
        <v>15</v>
      </c>
      <c r="E48" s="14" t="s">
        <v>761</v>
      </c>
      <c r="F48" s="15"/>
      <c r="G48" s="16"/>
      <c r="H48" s="15"/>
      <c r="I48" s="16"/>
      <c r="J48" s="15"/>
      <c r="K48" s="16"/>
      <c r="L48" s="15"/>
      <c r="M48" s="63"/>
      <c r="N48" s="17"/>
      <c r="O48" s="16"/>
      <c r="P48" s="16"/>
      <c r="Q48" s="152">
        <f t="shared" si="0"/>
        <v>0</v>
      </c>
      <c r="R48" s="152">
        <f t="shared" si="1"/>
        <v>0</v>
      </c>
      <c r="S48" s="152">
        <f t="shared" si="2"/>
        <v>0</v>
      </c>
      <c r="T48" s="18">
        <f t="shared" si="3"/>
        <v>0</v>
      </c>
    </row>
    <row r="49" spans="2:20" x14ac:dyDescent="0.25">
      <c r="B49" s="117" t="s">
        <v>900</v>
      </c>
      <c r="C49" s="136" t="s">
        <v>901</v>
      </c>
      <c r="D49" s="14" t="s">
        <v>15</v>
      </c>
      <c r="E49" s="14" t="s">
        <v>21</v>
      </c>
      <c r="F49" s="15"/>
      <c r="G49" s="16"/>
      <c r="H49" s="15"/>
      <c r="I49" s="16"/>
      <c r="J49" s="15"/>
      <c r="K49" s="16"/>
      <c r="L49" s="15"/>
      <c r="M49" s="63"/>
      <c r="N49" s="17"/>
      <c r="O49" s="16"/>
      <c r="P49" s="16"/>
      <c r="Q49" s="152">
        <f t="shared" si="0"/>
        <v>0</v>
      </c>
      <c r="R49" s="152">
        <f t="shared" si="1"/>
        <v>0</v>
      </c>
      <c r="S49" s="152">
        <f t="shared" si="2"/>
        <v>0</v>
      </c>
      <c r="T49" s="18">
        <f t="shared" si="3"/>
        <v>0</v>
      </c>
    </row>
    <row r="50" spans="2:20" x14ac:dyDescent="0.25">
      <c r="B50" s="117" t="s">
        <v>964</v>
      </c>
      <c r="C50" s="136" t="s">
        <v>965</v>
      </c>
      <c r="D50" s="14" t="s">
        <v>941</v>
      </c>
      <c r="E50" s="14" t="s">
        <v>16</v>
      </c>
      <c r="F50" s="15"/>
      <c r="G50" s="16"/>
      <c r="H50" s="15"/>
      <c r="I50" s="16"/>
      <c r="J50" s="15"/>
      <c r="K50" s="16"/>
      <c r="L50" s="15"/>
      <c r="M50" s="63"/>
      <c r="N50" s="17"/>
      <c r="O50" s="16"/>
      <c r="P50" s="16"/>
      <c r="Q50" s="152">
        <f t="shared" si="0"/>
        <v>0</v>
      </c>
      <c r="R50" s="152">
        <f t="shared" si="1"/>
        <v>0</v>
      </c>
      <c r="S50" s="152">
        <f t="shared" si="2"/>
        <v>0</v>
      </c>
      <c r="T50" s="18">
        <f t="shared" si="3"/>
        <v>0</v>
      </c>
    </row>
    <row r="51" spans="2:20" x14ac:dyDescent="0.25">
      <c r="B51" s="117" t="s">
        <v>86</v>
      </c>
      <c r="C51" s="136" t="s">
        <v>87</v>
      </c>
      <c r="D51" s="14" t="s">
        <v>15</v>
      </c>
      <c r="E51" s="14" t="s">
        <v>16</v>
      </c>
      <c r="F51" s="15"/>
      <c r="G51" s="16"/>
      <c r="H51" s="15"/>
      <c r="I51" s="16"/>
      <c r="J51" s="15"/>
      <c r="K51" s="16"/>
      <c r="L51" s="15"/>
      <c r="M51" s="63"/>
      <c r="N51" s="17"/>
      <c r="O51" s="16"/>
      <c r="P51" s="16"/>
      <c r="Q51" s="152">
        <f t="shared" si="0"/>
        <v>0</v>
      </c>
      <c r="R51" s="152">
        <f t="shared" si="1"/>
        <v>0</v>
      </c>
      <c r="S51" s="152">
        <f t="shared" si="2"/>
        <v>0</v>
      </c>
      <c r="T51" s="18">
        <f t="shared" si="3"/>
        <v>0</v>
      </c>
    </row>
    <row r="52" spans="2:20" x14ac:dyDescent="0.25">
      <c r="B52" s="117" t="s">
        <v>88</v>
      </c>
      <c r="C52" s="136" t="s">
        <v>940</v>
      </c>
      <c r="D52" s="14" t="s">
        <v>941</v>
      </c>
      <c r="E52" s="14" t="s">
        <v>16</v>
      </c>
      <c r="F52" s="15"/>
      <c r="G52" s="16"/>
      <c r="H52" s="15"/>
      <c r="I52" s="16"/>
      <c r="J52" s="15"/>
      <c r="K52" s="16"/>
      <c r="L52" s="15"/>
      <c r="M52" s="63"/>
      <c r="N52" s="17"/>
      <c r="O52" s="16"/>
      <c r="P52" s="16"/>
      <c r="Q52" s="152">
        <f t="shared" si="0"/>
        <v>0</v>
      </c>
      <c r="R52" s="152">
        <f t="shared" si="1"/>
        <v>0</v>
      </c>
      <c r="S52" s="152">
        <f t="shared" si="2"/>
        <v>0</v>
      </c>
      <c r="T52" s="18">
        <f t="shared" si="3"/>
        <v>0</v>
      </c>
    </row>
    <row r="53" spans="2:20" x14ac:dyDescent="0.25">
      <c r="B53" s="117" t="s">
        <v>814</v>
      </c>
      <c r="C53" s="136" t="s">
        <v>815</v>
      </c>
      <c r="D53" s="14" t="s">
        <v>15</v>
      </c>
      <c r="E53" s="14" t="s">
        <v>16</v>
      </c>
      <c r="F53" s="15">
        <v>46014</v>
      </c>
      <c r="G53" s="16">
        <v>7.0000000000000007E-2</v>
      </c>
      <c r="H53" s="15"/>
      <c r="I53" s="16"/>
      <c r="J53" s="15"/>
      <c r="K53" s="16"/>
      <c r="L53" s="15"/>
      <c r="M53" s="63"/>
      <c r="N53" s="17"/>
      <c r="O53" s="16"/>
      <c r="P53" s="16"/>
      <c r="Q53" s="152">
        <f t="shared" si="0"/>
        <v>7.0000000000000007E-2</v>
      </c>
      <c r="R53" s="152">
        <f t="shared" si="1"/>
        <v>7.0000000000000007E-2</v>
      </c>
      <c r="S53" s="152">
        <f t="shared" si="2"/>
        <v>7.0000000000000007E-2</v>
      </c>
      <c r="T53" s="18">
        <f t="shared" si="3"/>
        <v>7.0000000000000007E-2</v>
      </c>
    </row>
    <row r="54" spans="2:20" x14ac:dyDescent="0.25">
      <c r="B54" s="117" t="s">
        <v>90</v>
      </c>
      <c r="C54" s="136" t="s">
        <v>91</v>
      </c>
      <c r="D54" s="14" t="s">
        <v>15</v>
      </c>
      <c r="E54" s="14" t="s">
        <v>16</v>
      </c>
      <c r="F54" s="15"/>
      <c r="G54" s="16"/>
      <c r="H54" s="15"/>
      <c r="I54" s="16"/>
      <c r="J54" s="15"/>
      <c r="K54" s="16"/>
      <c r="L54" s="15"/>
      <c r="M54" s="63"/>
      <c r="N54" s="17"/>
      <c r="O54" s="16"/>
      <c r="P54" s="16"/>
      <c r="Q54" s="152">
        <f t="shared" si="0"/>
        <v>0</v>
      </c>
      <c r="R54" s="152">
        <f t="shared" si="1"/>
        <v>0</v>
      </c>
      <c r="S54" s="152">
        <f t="shared" si="2"/>
        <v>0</v>
      </c>
      <c r="T54" s="18">
        <f t="shared" si="3"/>
        <v>0</v>
      </c>
    </row>
    <row r="55" spans="2:20" x14ac:dyDescent="0.25">
      <c r="B55" s="117" t="s">
        <v>812</v>
      </c>
      <c r="C55" s="136" t="s">
        <v>813</v>
      </c>
      <c r="D55" s="14" t="s">
        <v>15</v>
      </c>
      <c r="E55" s="14" t="s">
        <v>16</v>
      </c>
      <c r="F55" s="15"/>
      <c r="G55" s="16"/>
      <c r="H55" s="15"/>
      <c r="I55" s="16"/>
      <c r="J55" s="15"/>
      <c r="K55" s="16"/>
      <c r="L55" s="15"/>
      <c r="M55" s="63"/>
      <c r="N55" s="17"/>
      <c r="O55" s="16"/>
      <c r="P55" s="16"/>
      <c r="Q55" s="152">
        <f t="shared" si="0"/>
        <v>0</v>
      </c>
      <c r="R55" s="152">
        <f t="shared" si="1"/>
        <v>0</v>
      </c>
      <c r="S55" s="152">
        <f t="shared" si="2"/>
        <v>0</v>
      </c>
      <c r="T55" s="18">
        <f t="shared" si="3"/>
        <v>0</v>
      </c>
    </row>
    <row r="56" spans="2:20" x14ac:dyDescent="0.25">
      <c r="B56" s="117" t="s">
        <v>94</v>
      </c>
      <c r="C56" s="136" t="s">
        <v>95</v>
      </c>
      <c r="D56" s="14" t="s">
        <v>15</v>
      </c>
      <c r="E56" s="14" t="s">
        <v>16</v>
      </c>
      <c r="F56" s="15"/>
      <c r="G56" s="16"/>
      <c r="H56" s="15"/>
      <c r="I56" s="16"/>
      <c r="J56" s="15"/>
      <c r="K56" s="16"/>
      <c r="L56" s="15"/>
      <c r="M56" s="63"/>
      <c r="N56" s="17"/>
      <c r="O56" s="16"/>
      <c r="P56" s="16"/>
      <c r="Q56" s="152">
        <f t="shared" si="0"/>
        <v>0</v>
      </c>
      <c r="R56" s="152">
        <f t="shared" si="1"/>
        <v>0</v>
      </c>
      <c r="S56" s="152">
        <f t="shared" si="2"/>
        <v>0</v>
      </c>
      <c r="T56" s="18">
        <f t="shared" si="3"/>
        <v>0</v>
      </c>
    </row>
    <row r="57" spans="2:20" x14ac:dyDescent="0.25">
      <c r="B57" s="117" t="s">
        <v>96</v>
      </c>
      <c r="C57" s="136" t="s">
        <v>97</v>
      </c>
      <c r="D57" s="14" t="s">
        <v>15</v>
      </c>
      <c r="E57" s="14" t="s">
        <v>761</v>
      </c>
      <c r="F57" s="15">
        <v>46072</v>
      </c>
      <c r="G57" s="16">
        <v>5.6</v>
      </c>
      <c r="H57" s="15"/>
      <c r="I57" s="16"/>
      <c r="J57" s="15"/>
      <c r="K57" s="16"/>
      <c r="L57" s="15"/>
      <c r="M57" s="63"/>
      <c r="N57" s="17"/>
      <c r="O57" s="16"/>
      <c r="P57" s="16"/>
      <c r="Q57" s="152">
        <f t="shared" si="0"/>
        <v>5.6</v>
      </c>
      <c r="R57" s="152">
        <f t="shared" si="1"/>
        <v>5.6</v>
      </c>
      <c r="S57" s="152">
        <f t="shared" si="2"/>
        <v>5.6</v>
      </c>
      <c r="T57" s="18">
        <f t="shared" si="3"/>
        <v>5.6</v>
      </c>
    </row>
    <row r="58" spans="2:20" x14ac:dyDescent="0.25">
      <c r="B58" s="117" t="s">
        <v>98</v>
      </c>
      <c r="C58" s="136" t="s">
        <v>99</v>
      </c>
      <c r="D58" s="14" t="s">
        <v>15</v>
      </c>
      <c r="E58" s="14" t="s">
        <v>16</v>
      </c>
      <c r="F58" s="15"/>
      <c r="G58" s="16"/>
      <c r="H58" s="15"/>
      <c r="I58" s="16"/>
      <c r="J58" s="15"/>
      <c r="K58" s="16"/>
      <c r="L58" s="15"/>
      <c r="M58" s="63"/>
      <c r="N58" s="17"/>
      <c r="O58" s="16"/>
      <c r="P58" s="16"/>
      <c r="Q58" s="152">
        <f t="shared" si="0"/>
        <v>0</v>
      </c>
      <c r="R58" s="152">
        <f t="shared" si="1"/>
        <v>0</v>
      </c>
      <c r="S58" s="152">
        <f t="shared" si="2"/>
        <v>0</v>
      </c>
      <c r="T58" s="18">
        <f t="shared" si="3"/>
        <v>0</v>
      </c>
    </row>
    <row r="59" spans="2:20" x14ac:dyDescent="0.25">
      <c r="B59" s="117" t="s">
        <v>804</v>
      </c>
      <c r="C59" s="136" t="s">
        <v>805</v>
      </c>
      <c r="D59" s="14" t="s">
        <v>15</v>
      </c>
      <c r="E59" s="14" t="s">
        <v>16</v>
      </c>
      <c r="F59" s="15"/>
      <c r="G59" s="16"/>
      <c r="H59" s="15"/>
      <c r="I59" s="16"/>
      <c r="J59" s="15"/>
      <c r="K59" s="16"/>
      <c r="L59" s="15"/>
      <c r="M59" s="63"/>
      <c r="N59" s="17"/>
      <c r="O59" s="16"/>
      <c r="P59" s="16"/>
      <c r="Q59" s="152">
        <f t="shared" si="0"/>
        <v>0</v>
      </c>
      <c r="R59" s="152">
        <f t="shared" si="1"/>
        <v>0</v>
      </c>
      <c r="S59" s="152">
        <f t="shared" si="2"/>
        <v>0</v>
      </c>
      <c r="T59" s="18">
        <f t="shared" si="3"/>
        <v>0</v>
      </c>
    </row>
    <row r="60" spans="2:20" x14ac:dyDescent="0.25">
      <c r="B60" s="117" t="s">
        <v>100</v>
      </c>
      <c r="C60" s="136" t="s">
        <v>101</v>
      </c>
      <c r="D60" s="14" t="s">
        <v>15</v>
      </c>
      <c r="E60" s="14" t="s">
        <v>16</v>
      </c>
      <c r="F60" s="15"/>
      <c r="G60" s="16"/>
      <c r="H60" s="15"/>
      <c r="I60" s="16"/>
      <c r="J60" s="15"/>
      <c r="K60" s="16"/>
      <c r="L60" s="15"/>
      <c r="M60" s="63"/>
      <c r="N60" s="17"/>
      <c r="O60" s="16"/>
      <c r="P60" s="16"/>
      <c r="Q60" s="152">
        <f t="shared" si="0"/>
        <v>0</v>
      </c>
      <c r="R60" s="152">
        <f t="shared" si="1"/>
        <v>0</v>
      </c>
      <c r="S60" s="152">
        <f t="shared" si="2"/>
        <v>0</v>
      </c>
      <c r="T60" s="18">
        <f t="shared" si="3"/>
        <v>0</v>
      </c>
    </row>
    <row r="61" spans="2:20" x14ac:dyDescent="0.25">
      <c r="B61" s="117" t="s">
        <v>777</v>
      </c>
      <c r="C61" s="136" t="s">
        <v>778</v>
      </c>
      <c r="D61" s="14" t="s">
        <v>15</v>
      </c>
      <c r="E61" s="14" t="s">
        <v>16</v>
      </c>
      <c r="F61" s="15"/>
      <c r="G61" s="16"/>
      <c r="H61" s="15"/>
      <c r="I61" s="16"/>
      <c r="J61" s="15"/>
      <c r="K61" s="16"/>
      <c r="L61" s="15"/>
      <c r="M61" s="63"/>
      <c r="N61" s="17"/>
      <c r="O61" s="16"/>
      <c r="P61" s="16"/>
      <c r="Q61" s="152">
        <f t="shared" si="0"/>
        <v>0</v>
      </c>
      <c r="R61" s="152">
        <f t="shared" si="1"/>
        <v>0</v>
      </c>
      <c r="S61" s="152">
        <f t="shared" si="2"/>
        <v>0</v>
      </c>
      <c r="T61" s="18">
        <f t="shared" si="3"/>
        <v>0</v>
      </c>
    </row>
    <row r="62" spans="2:20" x14ac:dyDescent="0.25">
      <c r="B62" s="117" t="s">
        <v>865</v>
      </c>
      <c r="C62" s="136" t="s">
        <v>866</v>
      </c>
      <c r="D62" s="14" t="s">
        <v>15</v>
      </c>
      <c r="E62" s="14" t="s">
        <v>16</v>
      </c>
      <c r="F62" s="15"/>
      <c r="G62" s="16"/>
      <c r="H62" s="15"/>
      <c r="I62" s="16"/>
      <c r="J62" s="15"/>
      <c r="K62" s="16"/>
      <c r="L62" s="15"/>
      <c r="M62" s="63"/>
      <c r="N62" s="17"/>
      <c r="O62" s="16"/>
      <c r="P62" s="16"/>
      <c r="Q62" s="152">
        <f t="shared" si="0"/>
        <v>0</v>
      </c>
      <c r="R62" s="152">
        <f t="shared" si="1"/>
        <v>0</v>
      </c>
      <c r="S62" s="152">
        <f t="shared" si="2"/>
        <v>0</v>
      </c>
      <c r="T62" s="18">
        <f t="shared" si="3"/>
        <v>0</v>
      </c>
    </row>
    <row r="63" spans="2:20" x14ac:dyDescent="0.25">
      <c r="B63" s="117" t="s">
        <v>104</v>
      </c>
      <c r="C63" s="136" t="s">
        <v>105</v>
      </c>
      <c r="D63" s="14" t="s">
        <v>27</v>
      </c>
      <c r="E63" s="14" t="s">
        <v>16</v>
      </c>
      <c r="F63" s="15"/>
      <c r="G63" s="16"/>
      <c r="H63" s="15"/>
      <c r="I63" s="16"/>
      <c r="J63" s="15"/>
      <c r="K63" s="16"/>
      <c r="L63" s="15"/>
      <c r="M63" s="63"/>
      <c r="N63" s="17"/>
      <c r="O63" s="16"/>
      <c r="P63" s="16"/>
      <c r="Q63" s="152">
        <f t="shared" si="0"/>
        <v>0</v>
      </c>
      <c r="R63" s="152">
        <f t="shared" si="1"/>
        <v>0</v>
      </c>
      <c r="S63" s="152">
        <f t="shared" si="2"/>
        <v>0</v>
      </c>
      <c r="T63" s="18">
        <f t="shared" si="3"/>
        <v>0</v>
      </c>
    </row>
    <row r="64" spans="2:20" x14ac:dyDescent="0.25">
      <c r="B64" s="117" t="s">
        <v>108</v>
      </c>
      <c r="C64" s="136" t="s">
        <v>109</v>
      </c>
      <c r="D64" s="14" t="s">
        <v>15</v>
      </c>
      <c r="E64" s="14" t="s">
        <v>16</v>
      </c>
      <c r="F64" s="15"/>
      <c r="G64" s="16"/>
      <c r="H64" s="15"/>
      <c r="I64" s="16"/>
      <c r="J64" s="15"/>
      <c r="K64" s="16"/>
      <c r="L64" s="15"/>
      <c r="M64" s="63"/>
      <c r="N64" s="17"/>
      <c r="O64" s="16"/>
      <c r="P64" s="16"/>
      <c r="Q64" s="152">
        <f t="shared" si="0"/>
        <v>0</v>
      </c>
      <c r="R64" s="152">
        <f t="shared" si="1"/>
        <v>0</v>
      </c>
      <c r="S64" s="152">
        <f t="shared" si="2"/>
        <v>0</v>
      </c>
      <c r="T64" s="18">
        <f t="shared" si="3"/>
        <v>0</v>
      </c>
    </row>
    <row r="65" spans="2:20" x14ac:dyDescent="0.25">
      <c r="B65" s="117" t="s">
        <v>110</v>
      </c>
      <c r="C65" s="136" t="s">
        <v>111</v>
      </c>
      <c r="D65" s="14" t="s">
        <v>24</v>
      </c>
      <c r="E65" s="14" t="s">
        <v>16</v>
      </c>
      <c r="F65" s="15"/>
      <c r="G65" s="16"/>
      <c r="H65" s="15"/>
      <c r="I65" s="16"/>
      <c r="J65" s="15"/>
      <c r="K65" s="16"/>
      <c r="L65" s="15"/>
      <c r="M65" s="63"/>
      <c r="N65" s="17"/>
      <c r="O65" s="16"/>
      <c r="P65" s="16"/>
      <c r="Q65" s="152">
        <f t="shared" si="0"/>
        <v>0</v>
      </c>
      <c r="R65" s="152">
        <f t="shared" si="1"/>
        <v>0</v>
      </c>
      <c r="S65" s="152">
        <f t="shared" si="2"/>
        <v>0</v>
      </c>
      <c r="T65" s="18">
        <f t="shared" si="3"/>
        <v>0</v>
      </c>
    </row>
    <row r="66" spans="2:20" x14ac:dyDescent="0.25">
      <c r="B66" s="117" t="s">
        <v>832</v>
      </c>
      <c r="C66" s="136" t="s">
        <v>833</v>
      </c>
      <c r="D66" s="14" t="s">
        <v>15</v>
      </c>
      <c r="E66" s="14" t="s">
        <v>200</v>
      </c>
      <c r="F66" s="15"/>
      <c r="G66" s="16"/>
      <c r="H66" s="15"/>
      <c r="I66" s="16"/>
      <c r="J66" s="15"/>
      <c r="K66" s="16"/>
      <c r="L66" s="15"/>
      <c r="M66" s="63"/>
      <c r="N66" s="17"/>
      <c r="O66" s="16"/>
      <c r="P66" s="16"/>
      <c r="Q66" s="152">
        <f t="shared" si="0"/>
        <v>0</v>
      </c>
      <c r="R66" s="152">
        <f t="shared" si="1"/>
        <v>0</v>
      </c>
      <c r="S66" s="152">
        <f t="shared" si="2"/>
        <v>0</v>
      </c>
      <c r="T66" s="18">
        <f t="shared" si="3"/>
        <v>0</v>
      </c>
    </row>
    <row r="67" spans="2:20" x14ac:dyDescent="0.25">
      <c r="B67" s="117" t="s">
        <v>114</v>
      </c>
      <c r="C67" s="136" t="s">
        <v>115</v>
      </c>
      <c r="D67" s="14" t="s">
        <v>24</v>
      </c>
      <c r="E67" s="14" t="s">
        <v>16</v>
      </c>
      <c r="F67" s="15"/>
      <c r="G67" s="16"/>
      <c r="H67" s="15"/>
      <c r="I67" s="16"/>
      <c r="J67" s="15"/>
      <c r="K67" s="16"/>
      <c r="L67" s="15"/>
      <c r="M67" s="63"/>
      <c r="N67" s="17"/>
      <c r="O67" s="16"/>
      <c r="P67" s="16"/>
      <c r="Q67" s="152">
        <f t="shared" si="0"/>
        <v>0</v>
      </c>
      <c r="R67" s="152">
        <f t="shared" si="1"/>
        <v>0</v>
      </c>
      <c r="S67" s="152">
        <f t="shared" si="2"/>
        <v>0</v>
      </c>
      <c r="T67" s="18">
        <f t="shared" si="3"/>
        <v>0</v>
      </c>
    </row>
    <row r="68" spans="2:20" x14ac:dyDescent="0.25">
      <c r="B68" s="117" t="s">
        <v>120</v>
      </c>
      <c r="C68" s="136" t="s">
        <v>121</v>
      </c>
      <c r="D68" s="14" t="s">
        <v>24</v>
      </c>
      <c r="E68" s="14" t="s">
        <v>16</v>
      </c>
      <c r="F68" s="15"/>
      <c r="G68" s="16"/>
      <c r="H68" s="15"/>
      <c r="I68" s="16"/>
      <c r="J68" s="15"/>
      <c r="K68" s="16"/>
      <c r="L68" s="15"/>
      <c r="M68" s="63"/>
      <c r="N68" s="17"/>
      <c r="O68" s="16"/>
      <c r="P68" s="16"/>
      <c r="Q68" s="152">
        <f t="shared" si="0"/>
        <v>0</v>
      </c>
      <c r="R68" s="152">
        <f t="shared" si="1"/>
        <v>0</v>
      </c>
      <c r="S68" s="152">
        <f t="shared" si="2"/>
        <v>0</v>
      </c>
      <c r="T68" s="18">
        <f t="shared" si="3"/>
        <v>0</v>
      </c>
    </row>
    <row r="69" spans="2:20" x14ac:dyDescent="0.25">
      <c r="B69" s="117" t="s">
        <v>122</v>
      </c>
      <c r="C69" s="136" t="s">
        <v>123</v>
      </c>
      <c r="D69" s="14" t="s">
        <v>15</v>
      </c>
      <c r="E69" s="14" t="s">
        <v>761</v>
      </c>
      <c r="F69" s="15">
        <v>46072</v>
      </c>
      <c r="G69" s="16">
        <f>0.0832*100/1.1845*0.8724</f>
        <v>6.1277906289573654</v>
      </c>
      <c r="H69" s="15"/>
      <c r="I69" s="16"/>
      <c r="J69" s="15"/>
      <c r="K69" s="16"/>
      <c r="L69" s="15"/>
      <c r="M69" s="63"/>
      <c r="N69" s="17"/>
      <c r="O69" s="16"/>
      <c r="P69" s="16"/>
      <c r="Q69" s="152">
        <f t="shared" si="0"/>
        <v>6.1277906289573654</v>
      </c>
      <c r="R69" s="152">
        <f t="shared" si="1"/>
        <v>6.1277906289573654</v>
      </c>
      <c r="S69" s="152">
        <f t="shared" si="2"/>
        <v>6.1277906289573654</v>
      </c>
      <c r="T69" s="18">
        <f t="shared" si="3"/>
        <v>6.1277906289573654</v>
      </c>
    </row>
    <row r="70" spans="2:20" x14ac:dyDescent="0.25">
      <c r="B70" s="117" t="s">
        <v>966</v>
      </c>
      <c r="C70" s="136" t="s">
        <v>967</v>
      </c>
      <c r="D70" s="14" t="s">
        <v>941</v>
      </c>
      <c r="E70" s="14" t="s">
        <v>16</v>
      </c>
      <c r="F70" s="15"/>
      <c r="G70" s="16"/>
      <c r="H70" s="15"/>
      <c r="I70" s="16"/>
      <c r="J70" s="15"/>
      <c r="K70" s="16"/>
      <c r="L70" s="15"/>
      <c r="M70" s="63"/>
      <c r="N70" s="17"/>
      <c r="O70" s="16"/>
      <c r="P70" s="16"/>
      <c r="Q70" s="152">
        <f t="shared" si="0"/>
        <v>0</v>
      </c>
      <c r="R70" s="152">
        <f t="shared" si="1"/>
        <v>0</v>
      </c>
      <c r="S70" s="152">
        <f t="shared" si="2"/>
        <v>0</v>
      </c>
      <c r="T70" s="18">
        <f t="shared" si="3"/>
        <v>0</v>
      </c>
    </row>
    <row r="71" spans="2:20" x14ac:dyDescent="0.25">
      <c r="B71" s="117" t="s">
        <v>126</v>
      </c>
      <c r="C71" s="136" t="s">
        <v>127</v>
      </c>
      <c r="D71" s="14" t="s">
        <v>27</v>
      </c>
      <c r="E71" s="14" t="s">
        <v>16</v>
      </c>
      <c r="F71" s="15"/>
      <c r="G71" s="16"/>
      <c r="H71" s="15"/>
      <c r="I71" s="16"/>
      <c r="J71" s="15"/>
      <c r="K71" s="16"/>
      <c r="L71" s="15"/>
      <c r="M71" s="63"/>
      <c r="N71" s="17"/>
      <c r="O71" s="16"/>
      <c r="P71" s="16"/>
      <c r="Q71" s="152">
        <f t="shared" si="0"/>
        <v>0</v>
      </c>
      <c r="R71" s="152">
        <f t="shared" si="1"/>
        <v>0</v>
      </c>
      <c r="S71" s="152">
        <f t="shared" si="2"/>
        <v>0</v>
      </c>
      <c r="T71" s="18">
        <f t="shared" si="3"/>
        <v>0</v>
      </c>
    </row>
    <row r="72" spans="2:20" x14ac:dyDescent="0.25">
      <c r="B72" s="117" t="s">
        <v>902</v>
      </c>
      <c r="C72" s="136" t="s">
        <v>903</v>
      </c>
      <c r="D72" s="14" t="s">
        <v>15</v>
      </c>
      <c r="E72" s="14" t="s">
        <v>16</v>
      </c>
      <c r="F72" s="15"/>
      <c r="G72" s="16"/>
      <c r="H72" s="15"/>
      <c r="I72" s="16"/>
      <c r="J72" s="15"/>
      <c r="K72" s="16"/>
      <c r="L72" s="15"/>
      <c r="M72" s="63"/>
      <c r="N72" s="17"/>
      <c r="O72" s="16"/>
      <c r="P72" s="16"/>
      <c r="Q72" s="152">
        <f t="shared" si="0"/>
        <v>0</v>
      </c>
      <c r="R72" s="152">
        <f t="shared" si="1"/>
        <v>0</v>
      </c>
      <c r="S72" s="152">
        <f t="shared" si="2"/>
        <v>0</v>
      </c>
      <c r="T72" s="18">
        <f t="shared" si="3"/>
        <v>0</v>
      </c>
    </row>
    <row r="73" spans="2:20" x14ac:dyDescent="0.25">
      <c r="B73" s="117" t="s">
        <v>128</v>
      </c>
      <c r="C73" s="136" t="s">
        <v>129</v>
      </c>
      <c r="D73" s="14" t="s">
        <v>15</v>
      </c>
      <c r="E73" s="14" t="s">
        <v>761</v>
      </c>
      <c r="F73" s="15">
        <v>46020</v>
      </c>
      <c r="G73" s="16">
        <v>60.06</v>
      </c>
      <c r="H73" s="15"/>
      <c r="I73" s="16"/>
      <c r="J73" s="15"/>
      <c r="K73" s="16"/>
      <c r="L73" s="15"/>
      <c r="M73" s="63"/>
      <c r="N73" s="17"/>
      <c r="O73" s="16"/>
      <c r="P73" s="16"/>
      <c r="Q73" s="152">
        <f t="shared" si="0"/>
        <v>60.06</v>
      </c>
      <c r="R73" s="152">
        <f t="shared" si="1"/>
        <v>60.06</v>
      </c>
      <c r="S73" s="152">
        <f t="shared" si="2"/>
        <v>60.06</v>
      </c>
      <c r="T73" s="18">
        <f t="shared" si="3"/>
        <v>60.06</v>
      </c>
    </row>
    <row r="74" spans="2:20" x14ac:dyDescent="0.25">
      <c r="B74" s="117" t="s">
        <v>130</v>
      </c>
      <c r="C74" s="136" t="s">
        <v>131</v>
      </c>
      <c r="D74" s="14" t="s">
        <v>15</v>
      </c>
      <c r="E74" s="14" t="s">
        <v>761</v>
      </c>
      <c r="F74" s="15">
        <v>46020</v>
      </c>
      <c r="G74" s="16">
        <v>2.4500000000000002</v>
      </c>
      <c r="H74" s="15"/>
      <c r="I74" s="16"/>
      <c r="J74" s="15"/>
      <c r="K74" s="16"/>
      <c r="L74" s="15"/>
      <c r="M74" s="63"/>
      <c r="N74" s="17"/>
      <c r="O74" s="16"/>
      <c r="P74" s="16"/>
      <c r="Q74" s="152">
        <f t="shared" si="0"/>
        <v>2.4500000000000002</v>
      </c>
      <c r="R74" s="152">
        <f t="shared" si="1"/>
        <v>2.4500000000000002</v>
      </c>
      <c r="S74" s="152">
        <f t="shared" si="2"/>
        <v>2.4500000000000002</v>
      </c>
      <c r="T74" s="18">
        <f t="shared" si="3"/>
        <v>2.4500000000000002</v>
      </c>
    </row>
    <row r="75" spans="2:20" x14ac:dyDescent="0.25">
      <c r="B75" s="117" t="s">
        <v>132</v>
      </c>
      <c r="C75" s="136" t="s">
        <v>133</v>
      </c>
      <c r="D75" s="14" t="s">
        <v>15</v>
      </c>
      <c r="E75" s="14" t="s">
        <v>16</v>
      </c>
      <c r="F75" s="15"/>
      <c r="G75" s="16"/>
      <c r="H75" s="15"/>
      <c r="I75" s="16"/>
      <c r="J75" s="15"/>
      <c r="K75" s="16"/>
      <c r="L75" s="15"/>
      <c r="M75" s="63"/>
      <c r="N75" s="17"/>
      <c r="O75" s="16"/>
      <c r="P75" s="16"/>
      <c r="Q75" s="152">
        <f t="shared" si="0"/>
        <v>0</v>
      </c>
      <c r="R75" s="152">
        <f t="shared" si="1"/>
        <v>0</v>
      </c>
      <c r="S75" s="152">
        <f t="shared" si="2"/>
        <v>0</v>
      </c>
      <c r="T75" s="18">
        <f t="shared" si="3"/>
        <v>0</v>
      </c>
    </row>
    <row r="76" spans="2:20" x14ac:dyDescent="0.25">
      <c r="B76" s="117" t="s">
        <v>608</v>
      </c>
      <c r="C76" s="136" t="s">
        <v>134</v>
      </c>
      <c r="D76" s="14" t="s">
        <v>24</v>
      </c>
      <c r="E76" s="14" t="s">
        <v>16</v>
      </c>
      <c r="F76" s="15"/>
      <c r="G76" s="16"/>
      <c r="H76" s="15"/>
      <c r="I76" s="16"/>
      <c r="J76" s="15"/>
      <c r="K76" s="16"/>
      <c r="L76" s="15"/>
      <c r="M76" s="63"/>
      <c r="N76" s="17"/>
      <c r="O76" s="16"/>
      <c r="P76" s="16"/>
      <c r="Q76" s="152">
        <f t="shared" si="0"/>
        <v>0</v>
      </c>
      <c r="R76" s="152">
        <f t="shared" si="1"/>
        <v>0</v>
      </c>
      <c r="S76" s="152">
        <f t="shared" si="2"/>
        <v>0</v>
      </c>
      <c r="T76" s="18">
        <f t="shared" si="3"/>
        <v>0</v>
      </c>
    </row>
    <row r="77" spans="2:20" x14ac:dyDescent="0.25">
      <c r="B77" s="117" t="s">
        <v>135</v>
      </c>
      <c r="C77" s="136" t="s">
        <v>136</v>
      </c>
      <c r="D77" s="14" t="s">
        <v>24</v>
      </c>
      <c r="E77" s="14" t="s">
        <v>16</v>
      </c>
      <c r="F77" s="15"/>
      <c r="G77" s="16"/>
      <c r="H77" s="15"/>
      <c r="I77" s="16"/>
      <c r="J77" s="15"/>
      <c r="K77" s="16"/>
      <c r="L77" s="15"/>
      <c r="M77" s="63"/>
      <c r="N77" s="17"/>
      <c r="O77" s="16"/>
      <c r="P77" s="16"/>
      <c r="Q77" s="152">
        <f t="shared" si="0"/>
        <v>0</v>
      </c>
      <c r="R77" s="152">
        <f t="shared" si="1"/>
        <v>0</v>
      </c>
      <c r="S77" s="152">
        <f t="shared" si="2"/>
        <v>0</v>
      </c>
      <c r="T77" s="18">
        <f t="shared" si="3"/>
        <v>0</v>
      </c>
    </row>
    <row r="78" spans="2:20" x14ac:dyDescent="0.25">
      <c r="B78" s="117" t="s">
        <v>610</v>
      </c>
      <c r="C78" s="136" t="s">
        <v>326</v>
      </c>
      <c r="D78" s="45" t="s">
        <v>15</v>
      </c>
      <c r="E78" s="45" t="s">
        <v>16</v>
      </c>
      <c r="F78" s="15"/>
      <c r="G78" s="16"/>
      <c r="H78" s="15"/>
      <c r="I78" s="16"/>
      <c r="J78" s="15"/>
      <c r="K78" s="16"/>
      <c r="L78" s="15"/>
      <c r="M78" s="63"/>
      <c r="N78" s="17"/>
      <c r="O78" s="16"/>
      <c r="P78" s="16"/>
      <c r="Q78" s="152">
        <f t="shared" ref="Q78:Q141" si="4">IF(F78&lt;=Exp26Q1,G78,0)+IF(H78&lt;=Exp26Q1,I78,0)+IF(J78&lt;=Exp26Q1,K78,0)+IF(L78&lt;=Exp26Q1,M78,0)+IF(N78&lt;=Exp26Q1,O78,0)</f>
        <v>0</v>
      </c>
      <c r="R78" s="152">
        <f t="shared" ref="R78:R141" si="5">IF(F78&lt;=Exp26H1,G78,0)+IF(H78&lt;=Exp26H1,I78,0)+IF(J78&lt;=Exp26H1,K78,0)+IF(L78&lt;=Exp26H1,M78,0)+IF(N78&lt;=Exp26H1,O78,0)</f>
        <v>0</v>
      </c>
      <c r="S78" s="152">
        <f t="shared" ref="S78:S141" si="6">IF(F78&lt;=Exp26Q3,G78,0)+IF(H78&lt;=Exp26Q3,I78,0)+IF(J78&lt;=Exp26Q3,K78,0)+IF(L78&lt;=Exp26Q3,M78,0)+IF(N78&lt;=Exp26Q3,O78,0)</f>
        <v>0</v>
      </c>
      <c r="T78" s="18">
        <f t="shared" ref="T78:T143" si="7">G78+I78+K78+M78+O78</f>
        <v>0</v>
      </c>
    </row>
    <row r="79" spans="2:20" x14ac:dyDescent="0.25">
      <c r="B79" s="117" t="s">
        <v>139</v>
      </c>
      <c r="C79" s="136" t="s">
        <v>140</v>
      </c>
      <c r="D79" s="14" t="s">
        <v>15</v>
      </c>
      <c r="E79" s="14" t="s">
        <v>761</v>
      </c>
      <c r="F79" s="15"/>
      <c r="G79" s="16"/>
      <c r="H79" s="15"/>
      <c r="I79" s="16"/>
      <c r="J79" s="15"/>
      <c r="K79" s="16"/>
      <c r="L79" s="15"/>
      <c r="M79" s="63"/>
      <c r="N79" s="17"/>
      <c r="O79" s="16"/>
      <c r="P79" s="16"/>
      <c r="Q79" s="152">
        <f t="shared" si="4"/>
        <v>0</v>
      </c>
      <c r="R79" s="152">
        <f t="shared" si="5"/>
        <v>0</v>
      </c>
      <c r="S79" s="152">
        <f t="shared" si="6"/>
        <v>0</v>
      </c>
      <c r="T79" s="18">
        <f t="shared" si="7"/>
        <v>0</v>
      </c>
    </row>
    <row r="80" spans="2:20" x14ac:dyDescent="0.25">
      <c r="B80" s="117" t="s">
        <v>151</v>
      </c>
      <c r="C80" s="136" t="s">
        <v>152</v>
      </c>
      <c r="D80" s="14" t="s">
        <v>15</v>
      </c>
      <c r="E80" s="14" t="s">
        <v>16</v>
      </c>
      <c r="F80" s="15"/>
      <c r="G80" s="16"/>
      <c r="H80" s="15"/>
      <c r="I80" s="16"/>
      <c r="J80" s="15"/>
      <c r="K80" s="16"/>
      <c r="L80" s="15"/>
      <c r="M80" s="63"/>
      <c r="N80" s="17"/>
      <c r="O80" s="16"/>
      <c r="P80" s="16"/>
      <c r="Q80" s="152">
        <f t="shared" si="4"/>
        <v>0</v>
      </c>
      <c r="R80" s="152">
        <f t="shared" si="5"/>
        <v>0</v>
      </c>
      <c r="S80" s="152">
        <f t="shared" si="6"/>
        <v>0</v>
      </c>
      <c r="T80" s="18">
        <f t="shared" si="7"/>
        <v>0</v>
      </c>
    </row>
    <row r="81" spans="2:20" x14ac:dyDescent="0.25">
      <c r="B81" s="117" t="s">
        <v>806</v>
      </c>
      <c r="C81" s="136" t="s">
        <v>807</v>
      </c>
      <c r="D81" s="14" t="s">
        <v>27</v>
      </c>
      <c r="E81" s="14" t="s">
        <v>16</v>
      </c>
      <c r="F81" s="15"/>
      <c r="G81" s="16"/>
      <c r="H81" s="15"/>
      <c r="I81" s="16"/>
      <c r="J81" s="15"/>
      <c r="K81" s="16"/>
      <c r="L81" s="15"/>
      <c r="M81" s="63"/>
      <c r="N81" s="17"/>
      <c r="O81" s="16"/>
      <c r="P81" s="16"/>
      <c r="Q81" s="152">
        <f t="shared" si="4"/>
        <v>0</v>
      </c>
      <c r="R81" s="152">
        <f t="shared" si="5"/>
        <v>0</v>
      </c>
      <c r="S81" s="152">
        <f t="shared" si="6"/>
        <v>0</v>
      </c>
      <c r="T81" s="18">
        <f t="shared" si="7"/>
        <v>0</v>
      </c>
    </row>
    <row r="82" spans="2:20" x14ac:dyDescent="0.25">
      <c r="B82" s="117" t="s">
        <v>153</v>
      </c>
      <c r="C82" s="136" t="s">
        <v>154</v>
      </c>
      <c r="D82" s="14" t="s">
        <v>27</v>
      </c>
      <c r="E82" s="14" t="s">
        <v>16</v>
      </c>
      <c r="F82" s="15"/>
      <c r="G82" s="16"/>
      <c r="H82" s="15"/>
      <c r="I82" s="16"/>
      <c r="J82" s="15"/>
      <c r="K82" s="16"/>
      <c r="L82" s="15"/>
      <c r="M82" s="63"/>
      <c r="N82" s="17"/>
      <c r="O82" s="16"/>
      <c r="P82" s="16"/>
      <c r="Q82" s="152">
        <f t="shared" si="4"/>
        <v>0</v>
      </c>
      <c r="R82" s="152">
        <f t="shared" si="5"/>
        <v>0</v>
      </c>
      <c r="S82" s="152">
        <f t="shared" si="6"/>
        <v>0</v>
      </c>
      <c r="T82" s="18">
        <f t="shared" si="7"/>
        <v>0</v>
      </c>
    </row>
    <row r="83" spans="2:20" x14ac:dyDescent="0.25">
      <c r="B83" s="117" t="s">
        <v>156</v>
      </c>
      <c r="C83" s="136" t="s">
        <v>157</v>
      </c>
      <c r="D83" s="14" t="s">
        <v>15</v>
      </c>
      <c r="E83" s="14" t="s">
        <v>21</v>
      </c>
      <c r="F83" s="15"/>
      <c r="G83" s="16"/>
      <c r="H83" s="15"/>
      <c r="I83" s="16"/>
      <c r="J83" s="15"/>
      <c r="K83" s="16"/>
      <c r="L83" s="15"/>
      <c r="M83" s="63"/>
      <c r="N83" s="17"/>
      <c r="O83" s="16"/>
      <c r="P83" s="16"/>
      <c r="Q83" s="152">
        <f t="shared" si="4"/>
        <v>0</v>
      </c>
      <c r="R83" s="152">
        <f t="shared" si="5"/>
        <v>0</v>
      </c>
      <c r="S83" s="152">
        <f t="shared" si="6"/>
        <v>0</v>
      </c>
      <c r="T83" s="18">
        <f t="shared" si="7"/>
        <v>0</v>
      </c>
    </row>
    <row r="84" spans="2:20" x14ac:dyDescent="0.25">
      <c r="B84" s="117" t="s">
        <v>158</v>
      </c>
      <c r="C84" s="136" t="s">
        <v>159</v>
      </c>
      <c r="D84" s="14" t="s">
        <v>15</v>
      </c>
      <c r="E84" s="14" t="s">
        <v>761</v>
      </c>
      <c r="F84" s="15">
        <v>46037</v>
      </c>
      <c r="G84" s="16">
        <f>0.433/1.1651*0.8668*100</f>
        <v>32.21392155179813</v>
      </c>
      <c r="H84" s="15"/>
      <c r="I84" s="16"/>
      <c r="J84" s="15"/>
      <c r="K84" s="16"/>
      <c r="L84" s="15"/>
      <c r="M84" s="63"/>
      <c r="N84" s="17"/>
      <c r="O84" s="16"/>
      <c r="P84" s="16"/>
      <c r="Q84" s="152">
        <f t="shared" si="4"/>
        <v>32.21392155179813</v>
      </c>
      <c r="R84" s="152">
        <f t="shared" si="5"/>
        <v>32.21392155179813</v>
      </c>
      <c r="S84" s="152">
        <f t="shared" si="6"/>
        <v>32.21392155179813</v>
      </c>
      <c r="T84" s="18">
        <f t="shared" si="7"/>
        <v>32.21392155179813</v>
      </c>
    </row>
    <row r="85" spans="2:20" x14ac:dyDescent="0.25">
      <c r="B85" s="117" t="s">
        <v>164</v>
      </c>
      <c r="C85" s="136" t="s">
        <v>165</v>
      </c>
      <c r="D85" s="14" t="s">
        <v>24</v>
      </c>
      <c r="E85" s="14" t="s">
        <v>16</v>
      </c>
      <c r="F85" s="15"/>
      <c r="G85" s="16"/>
      <c r="H85" s="15"/>
      <c r="I85" s="16"/>
      <c r="J85" s="15"/>
      <c r="K85" s="16"/>
      <c r="L85" s="15"/>
      <c r="M85" s="63"/>
      <c r="N85" s="17"/>
      <c r="O85" s="16"/>
      <c r="P85" s="16"/>
      <c r="Q85" s="152">
        <f t="shared" si="4"/>
        <v>0</v>
      </c>
      <c r="R85" s="152">
        <f t="shared" si="5"/>
        <v>0</v>
      </c>
      <c r="S85" s="152">
        <f t="shared" si="6"/>
        <v>0</v>
      </c>
      <c r="T85" s="18">
        <f t="shared" si="7"/>
        <v>0</v>
      </c>
    </row>
    <row r="86" spans="2:20" x14ac:dyDescent="0.25">
      <c r="B86" s="158" t="s">
        <v>820</v>
      </c>
      <c r="C86" s="159" t="s">
        <v>821</v>
      </c>
      <c r="D86" s="45" t="s">
        <v>15</v>
      </c>
      <c r="E86" s="45" t="s">
        <v>16</v>
      </c>
      <c r="F86" s="15"/>
      <c r="G86" s="16"/>
      <c r="H86" s="15"/>
      <c r="I86" s="16"/>
      <c r="J86" s="15"/>
      <c r="K86" s="16"/>
      <c r="L86" s="15"/>
      <c r="M86" s="63"/>
      <c r="N86" s="17"/>
      <c r="O86" s="16"/>
      <c r="P86" s="47"/>
      <c r="Q86" s="152">
        <f t="shared" si="4"/>
        <v>0</v>
      </c>
      <c r="R86" s="152">
        <f t="shared" si="5"/>
        <v>0</v>
      </c>
      <c r="S86" s="152">
        <f t="shared" si="6"/>
        <v>0</v>
      </c>
      <c r="T86" s="18">
        <f t="shared" si="7"/>
        <v>0</v>
      </c>
    </row>
    <row r="87" spans="2:20" x14ac:dyDescent="0.25">
      <c r="B87" s="158" t="s">
        <v>172</v>
      </c>
      <c r="C87" s="159" t="s">
        <v>173</v>
      </c>
      <c r="D87" s="45" t="s">
        <v>24</v>
      </c>
      <c r="E87" s="45" t="s">
        <v>16</v>
      </c>
      <c r="F87" s="15"/>
      <c r="G87" s="16"/>
      <c r="H87" s="15"/>
      <c r="I87" s="16"/>
      <c r="J87" s="15"/>
      <c r="K87" s="16"/>
      <c r="L87" s="15"/>
      <c r="M87" s="63"/>
      <c r="N87" s="17"/>
      <c r="O87" s="16"/>
      <c r="P87" s="47"/>
      <c r="Q87" s="152">
        <f t="shared" si="4"/>
        <v>0</v>
      </c>
      <c r="R87" s="152">
        <f t="shared" si="5"/>
        <v>0</v>
      </c>
      <c r="S87" s="152">
        <f t="shared" si="6"/>
        <v>0</v>
      </c>
      <c r="T87" s="18">
        <f t="shared" si="7"/>
        <v>0</v>
      </c>
    </row>
    <row r="88" spans="2:20" x14ac:dyDescent="0.25">
      <c r="B88" s="158" t="s">
        <v>857</v>
      </c>
      <c r="C88" s="159" t="s">
        <v>858</v>
      </c>
      <c r="D88" s="45" t="s">
        <v>24</v>
      </c>
      <c r="E88" s="45" t="s">
        <v>16</v>
      </c>
      <c r="F88" s="15"/>
      <c r="G88" s="16"/>
      <c r="H88" s="15"/>
      <c r="I88" s="16"/>
      <c r="J88" s="15"/>
      <c r="K88" s="16"/>
      <c r="L88" s="15"/>
      <c r="M88" s="63"/>
      <c r="N88" s="17"/>
      <c r="O88" s="16"/>
      <c r="P88" s="47"/>
      <c r="Q88" s="152">
        <f t="shared" si="4"/>
        <v>0</v>
      </c>
      <c r="R88" s="152">
        <f t="shared" si="5"/>
        <v>0</v>
      </c>
      <c r="S88" s="152">
        <f t="shared" si="6"/>
        <v>0</v>
      </c>
      <c r="T88" s="18">
        <f t="shared" si="7"/>
        <v>0</v>
      </c>
    </row>
    <row r="89" spans="2:20" x14ac:dyDescent="0.25">
      <c r="B89" s="158" t="s">
        <v>894</v>
      </c>
      <c r="C89" s="159" t="s">
        <v>895</v>
      </c>
      <c r="D89" s="45" t="s">
        <v>24</v>
      </c>
      <c r="E89" s="45" t="s">
        <v>16</v>
      </c>
      <c r="F89" s="15">
        <v>46069</v>
      </c>
      <c r="G89" s="16">
        <v>0.13</v>
      </c>
      <c r="H89" s="15"/>
      <c r="I89" s="16"/>
      <c r="J89" s="15"/>
      <c r="K89" s="16"/>
      <c r="L89" s="15"/>
      <c r="M89" s="63"/>
      <c r="N89" s="17"/>
      <c r="O89" s="16"/>
      <c r="P89" s="47"/>
      <c r="Q89" s="152">
        <f t="shared" si="4"/>
        <v>0.13</v>
      </c>
      <c r="R89" s="152">
        <f t="shared" si="5"/>
        <v>0.13</v>
      </c>
      <c r="S89" s="152">
        <f t="shared" si="6"/>
        <v>0.13</v>
      </c>
      <c r="T89" s="18">
        <f t="shared" si="7"/>
        <v>0.13</v>
      </c>
    </row>
    <row r="90" spans="2:20" x14ac:dyDescent="0.25">
      <c r="B90" s="117" t="s">
        <v>174</v>
      </c>
      <c r="C90" s="136" t="s">
        <v>175</v>
      </c>
      <c r="D90" s="14" t="s">
        <v>15</v>
      </c>
      <c r="E90" s="14" t="s">
        <v>16</v>
      </c>
      <c r="F90" s="15"/>
      <c r="G90" s="16"/>
      <c r="H90" s="15"/>
      <c r="I90" s="16"/>
      <c r="J90" s="15"/>
      <c r="K90" s="16"/>
      <c r="L90" s="15"/>
      <c r="M90" s="63"/>
      <c r="N90" s="17"/>
      <c r="O90" s="16"/>
      <c r="P90" s="16"/>
      <c r="Q90" s="152">
        <f t="shared" si="4"/>
        <v>0</v>
      </c>
      <c r="R90" s="152">
        <f t="shared" si="5"/>
        <v>0</v>
      </c>
      <c r="S90" s="152">
        <f t="shared" si="6"/>
        <v>0</v>
      </c>
      <c r="T90" s="18">
        <f t="shared" si="7"/>
        <v>0</v>
      </c>
    </row>
    <row r="91" spans="2:20" x14ac:dyDescent="0.25">
      <c r="B91" s="117" t="s">
        <v>176</v>
      </c>
      <c r="C91" s="136" t="s">
        <v>177</v>
      </c>
      <c r="D91" s="14" t="s">
        <v>15</v>
      </c>
      <c r="E91" s="14" t="s">
        <v>16</v>
      </c>
      <c r="F91" s="15"/>
      <c r="G91" s="16"/>
      <c r="H91" s="15"/>
      <c r="I91" s="16"/>
      <c r="J91" s="15"/>
      <c r="K91" s="16"/>
      <c r="L91" s="15"/>
      <c r="M91" s="63"/>
      <c r="N91" s="17"/>
      <c r="O91" s="16"/>
      <c r="P91" s="16"/>
      <c r="Q91" s="152">
        <f t="shared" si="4"/>
        <v>0</v>
      </c>
      <c r="R91" s="152">
        <f t="shared" si="5"/>
        <v>0</v>
      </c>
      <c r="S91" s="152">
        <f t="shared" si="6"/>
        <v>0</v>
      </c>
      <c r="T91" s="18">
        <f t="shared" si="7"/>
        <v>0</v>
      </c>
    </row>
    <row r="92" spans="2:20" x14ac:dyDescent="0.25">
      <c r="B92" s="117" t="s">
        <v>178</v>
      </c>
      <c r="C92" s="136" t="s">
        <v>179</v>
      </c>
      <c r="D92" s="14" t="s">
        <v>15</v>
      </c>
      <c r="E92" s="14" t="s">
        <v>16</v>
      </c>
      <c r="F92" s="15"/>
      <c r="G92" s="16"/>
      <c r="H92" s="15"/>
      <c r="I92" s="16"/>
      <c r="J92" s="15"/>
      <c r="K92" s="16"/>
      <c r="L92" s="15"/>
      <c r="M92" s="63"/>
      <c r="N92" s="17"/>
      <c r="O92" s="16"/>
      <c r="P92" s="16"/>
      <c r="Q92" s="152">
        <f t="shared" si="4"/>
        <v>0</v>
      </c>
      <c r="R92" s="152">
        <f t="shared" si="5"/>
        <v>0</v>
      </c>
      <c r="S92" s="152">
        <f t="shared" si="6"/>
        <v>0</v>
      </c>
      <c r="T92" s="18">
        <f t="shared" si="7"/>
        <v>0</v>
      </c>
    </row>
    <row r="93" spans="2:20" x14ac:dyDescent="0.25">
      <c r="B93" s="117" t="s">
        <v>938</v>
      </c>
      <c r="C93" s="136" t="s">
        <v>181</v>
      </c>
      <c r="D93" s="14" t="s">
        <v>15</v>
      </c>
      <c r="E93" s="14" t="s">
        <v>16</v>
      </c>
      <c r="F93" s="15"/>
      <c r="G93" s="16"/>
      <c r="H93" s="15"/>
      <c r="I93" s="16"/>
      <c r="J93" s="15"/>
      <c r="K93" s="16"/>
      <c r="L93" s="15"/>
      <c r="M93" s="63"/>
      <c r="N93" s="17"/>
      <c r="O93" s="16"/>
      <c r="P93" s="16"/>
      <c r="Q93" s="152">
        <f t="shared" si="4"/>
        <v>0</v>
      </c>
      <c r="R93" s="152">
        <f t="shared" si="5"/>
        <v>0</v>
      </c>
      <c r="S93" s="152">
        <f t="shared" si="6"/>
        <v>0</v>
      </c>
      <c r="T93" s="18">
        <f t="shared" si="7"/>
        <v>0</v>
      </c>
    </row>
    <row r="94" spans="2:20" x14ac:dyDescent="0.25">
      <c r="B94" s="117" t="s">
        <v>182</v>
      </c>
      <c r="C94" s="136" t="s">
        <v>183</v>
      </c>
      <c r="D94" s="14" t="s">
        <v>15</v>
      </c>
      <c r="E94" s="14" t="s">
        <v>16</v>
      </c>
      <c r="F94" s="15"/>
      <c r="G94" s="16"/>
      <c r="H94" s="15"/>
      <c r="I94" s="16"/>
      <c r="J94" s="15"/>
      <c r="K94" s="16"/>
      <c r="L94" s="15"/>
      <c r="M94" s="63"/>
      <c r="N94" s="17"/>
      <c r="O94" s="16"/>
      <c r="P94" s="16"/>
      <c r="Q94" s="152">
        <f t="shared" si="4"/>
        <v>0</v>
      </c>
      <c r="R94" s="152">
        <f t="shared" si="5"/>
        <v>0</v>
      </c>
      <c r="S94" s="152">
        <f t="shared" si="6"/>
        <v>0</v>
      </c>
      <c r="T94" s="18">
        <f t="shared" si="7"/>
        <v>0</v>
      </c>
    </row>
    <row r="95" spans="2:20" x14ac:dyDescent="0.25">
      <c r="B95" s="117" t="s">
        <v>184</v>
      </c>
      <c r="C95" s="136" t="s">
        <v>185</v>
      </c>
      <c r="D95" s="14" t="s">
        <v>15</v>
      </c>
      <c r="E95" s="14" t="s">
        <v>761</v>
      </c>
      <c r="F95" s="15"/>
      <c r="G95" s="16"/>
      <c r="H95" s="15"/>
      <c r="I95" s="16"/>
      <c r="J95" s="15"/>
      <c r="K95" s="16"/>
      <c r="L95" s="15"/>
      <c r="M95" s="63"/>
      <c r="N95" s="17"/>
      <c r="O95" s="16"/>
      <c r="P95" s="16"/>
      <c r="Q95" s="152">
        <f t="shared" si="4"/>
        <v>0</v>
      </c>
      <c r="R95" s="152">
        <f t="shared" si="5"/>
        <v>0</v>
      </c>
      <c r="S95" s="152">
        <f t="shared" si="6"/>
        <v>0</v>
      </c>
      <c r="T95" s="18">
        <f t="shared" si="7"/>
        <v>0</v>
      </c>
    </row>
    <row r="96" spans="2:20" x14ac:dyDescent="0.25">
      <c r="B96" s="117" t="s">
        <v>781</v>
      </c>
      <c r="C96" s="136" t="s">
        <v>187</v>
      </c>
      <c r="D96" s="14" t="s">
        <v>27</v>
      </c>
      <c r="E96" s="14" t="s">
        <v>16</v>
      </c>
      <c r="F96" s="15"/>
      <c r="G96" s="16"/>
      <c r="H96" s="15"/>
      <c r="I96" s="16"/>
      <c r="J96" s="15"/>
      <c r="K96" s="16"/>
      <c r="L96" s="15"/>
      <c r="M96" s="63"/>
      <c r="N96" s="17"/>
      <c r="O96" s="16"/>
      <c r="P96" s="16"/>
      <c r="Q96" s="152">
        <f t="shared" si="4"/>
        <v>0</v>
      </c>
      <c r="R96" s="152">
        <f t="shared" si="5"/>
        <v>0</v>
      </c>
      <c r="S96" s="152">
        <f t="shared" si="6"/>
        <v>0</v>
      </c>
      <c r="T96" s="18">
        <f t="shared" si="7"/>
        <v>0</v>
      </c>
    </row>
    <row r="97" spans="2:20" x14ac:dyDescent="0.25">
      <c r="B97" s="117" t="s">
        <v>913</v>
      </c>
      <c r="C97" s="136" t="s">
        <v>914</v>
      </c>
      <c r="D97" s="14" t="s">
        <v>755</v>
      </c>
      <c r="E97" s="14" t="s">
        <v>475</v>
      </c>
      <c r="F97" s="15"/>
      <c r="G97" s="16"/>
      <c r="H97" s="15"/>
      <c r="I97" s="16"/>
      <c r="J97" s="15"/>
      <c r="K97" s="16"/>
      <c r="L97" s="15"/>
      <c r="M97" s="63"/>
      <c r="N97" s="17"/>
      <c r="O97" s="16"/>
      <c r="P97" s="16"/>
      <c r="Q97" s="152">
        <f t="shared" si="4"/>
        <v>0</v>
      </c>
      <c r="R97" s="152">
        <f t="shared" si="5"/>
        <v>0</v>
      </c>
      <c r="S97" s="152">
        <f t="shared" si="6"/>
        <v>0</v>
      </c>
      <c r="T97" s="18">
        <f t="shared" si="7"/>
        <v>0</v>
      </c>
    </row>
    <row r="98" spans="2:20" x14ac:dyDescent="0.25">
      <c r="B98" s="117" t="s">
        <v>929</v>
      </c>
      <c r="C98" s="136" t="s">
        <v>191</v>
      </c>
      <c r="D98" s="14" t="s">
        <v>15</v>
      </c>
      <c r="E98" s="14" t="s">
        <v>16</v>
      </c>
      <c r="F98" s="15"/>
      <c r="G98" s="16"/>
      <c r="H98" s="15"/>
      <c r="I98" s="16"/>
      <c r="J98" s="15"/>
      <c r="K98" s="16"/>
      <c r="L98" s="15"/>
      <c r="M98" s="63"/>
      <c r="N98" s="17"/>
      <c r="O98" s="16"/>
      <c r="P98" s="16"/>
      <c r="Q98" s="152">
        <f t="shared" si="4"/>
        <v>0</v>
      </c>
      <c r="R98" s="152">
        <f t="shared" si="5"/>
        <v>0</v>
      </c>
      <c r="S98" s="152">
        <f t="shared" si="6"/>
        <v>0</v>
      </c>
      <c r="T98" s="18">
        <f t="shared" si="7"/>
        <v>0</v>
      </c>
    </row>
    <row r="99" spans="2:20" x14ac:dyDescent="0.25">
      <c r="B99" s="117" t="s">
        <v>194</v>
      </c>
      <c r="C99" s="136" t="s">
        <v>195</v>
      </c>
      <c r="D99" s="14" t="s">
        <v>15</v>
      </c>
      <c r="E99" s="14" t="s">
        <v>16</v>
      </c>
      <c r="F99" s="15"/>
      <c r="G99" s="16"/>
      <c r="H99" s="15"/>
      <c r="I99" s="16"/>
      <c r="J99" s="15"/>
      <c r="K99" s="16"/>
      <c r="L99" s="15"/>
      <c r="M99" s="63"/>
      <c r="N99" s="17"/>
      <c r="O99" s="16"/>
      <c r="P99" s="16"/>
      <c r="Q99" s="152">
        <f t="shared" si="4"/>
        <v>0</v>
      </c>
      <c r="R99" s="152">
        <f t="shared" si="5"/>
        <v>0</v>
      </c>
      <c r="S99" s="152">
        <f t="shared" si="6"/>
        <v>0</v>
      </c>
      <c r="T99" s="18">
        <f t="shared" si="7"/>
        <v>0</v>
      </c>
    </row>
    <row r="100" spans="2:20" x14ac:dyDescent="0.25">
      <c r="B100" s="117" t="s">
        <v>963</v>
      </c>
      <c r="C100" s="136" t="s">
        <v>748</v>
      </c>
      <c r="D100" s="14" t="s">
        <v>237</v>
      </c>
      <c r="E100" s="14" t="s">
        <v>16</v>
      </c>
      <c r="F100" s="15"/>
      <c r="G100" s="16"/>
      <c r="H100" s="15"/>
      <c r="I100" s="16"/>
      <c r="J100" s="15"/>
      <c r="K100" s="16"/>
      <c r="L100" s="15"/>
      <c r="M100" s="63"/>
      <c r="N100" s="17"/>
      <c r="O100" s="16"/>
      <c r="P100" s="16"/>
      <c r="Q100" s="152">
        <f t="shared" si="4"/>
        <v>0</v>
      </c>
      <c r="R100" s="152">
        <f t="shared" si="5"/>
        <v>0</v>
      </c>
      <c r="S100" s="152">
        <f t="shared" si="6"/>
        <v>0</v>
      </c>
      <c r="T100" s="18">
        <f t="shared" si="7"/>
        <v>0</v>
      </c>
    </row>
    <row r="101" spans="2:20" x14ac:dyDescent="0.25">
      <c r="B101" s="117" t="s">
        <v>787</v>
      </c>
      <c r="C101" s="136" t="s">
        <v>788</v>
      </c>
      <c r="D101" s="14" t="s">
        <v>237</v>
      </c>
      <c r="E101" s="14" t="s">
        <v>16</v>
      </c>
      <c r="F101" s="15"/>
      <c r="G101" s="16"/>
      <c r="H101" s="15"/>
      <c r="I101" s="16"/>
      <c r="J101" s="15"/>
      <c r="K101" s="16"/>
      <c r="L101" s="15"/>
      <c r="M101" s="63"/>
      <c r="N101" s="17"/>
      <c r="O101" s="16"/>
      <c r="P101" s="16"/>
      <c r="Q101" s="152">
        <f t="shared" si="4"/>
        <v>0</v>
      </c>
      <c r="R101" s="152">
        <f t="shared" si="5"/>
        <v>0</v>
      </c>
      <c r="S101" s="152">
        <f t="shared" si="6"/>
        <v>0</v>
      </c>
      <c r="T101" s="18">
        <f t="shared" si="7"/>
        <v>0</v>
      </c>
    </row>
    <row r="102" spans="2:20" x14ac:dyDescent="0.25">
      <c r="B102" s="117" t="s">
        <v>198</v>
      </c>
      <c r="C102" s="136" t="s">
        <v>199</v>
      </c>
      <c r="D102" s="14" t="s">
        <v>15</v>
      </c>
      <c r="E102" s="14" t="s">
        <v>200</v>
      </c>
      <c r="F102" s="15"/>
      <c r="G102" s="16"/>
      <c r="H102" s="15"/>
      <c r="I102" s="16"/>
      <c r="J102" s="15"/>
      <c r="K102" s="16"/>
      <c r="L102" s="15"/>
      <c r="M102" s="63"/>
      <c r="N102" s="17"/>
      <c r="O102" s="16"/>
      <c r="P102" s="16"/>
      <c r="Q102" s="152">
        <f t="shared" si="4"/>
        <v>0</v>
      </c>
      <c r="R102" s="152">
        <f t="shared" si="5"/>
        <v>0</v>
      </c>
      <c r="S102" s="152">
        <f t="shared" si="6"/>
        <v>0</v>
      </c>
      <c r="T102" s="18">
        <f t="shared" si="7"/>
        <v>0</v>
      </c>
    </row>
    <row r="103" spans="2:20" x14ac:dyDescent="0.25">
      <c r="B103" s="117" t="s">
        <v>884</v>
      </c>
      <c r="C103" s="136" t="s">
        <v>202</v>
      </c>
      <c r="D103" s="14" t="s">
        <v>27</v>
      </c>
      <c r="E103" s="14" t="s">
        <v>16</v>
      </c>
      <c r="F103" s="15"/>
      <c r="G103" s="16"/>
      <c r="H103" s="15"/>
      <c r="I103" s="16"/>
      <c r="J103" s="15"/>
      <c r="K103" s="16"/>
      <c r="L103" s="15"/>
      <c r="M103" s="63"/>
      <c r="N103" s="17"/>
      <c r="O103" s="16"/>
      <c r="P103" s="16"/>
      <c r="Q103" s="152">
        <f t="shared" si="4"/>
        <v>0</v>
      </c>
      <c r="R103" s="152">
        <f t="shared" si="5"/>
        <v>0</v>
      </c>
      <c r="S103" s="152">
        <f t="shared" si="6"/>
        <v>0</v>
      </c>
      <c r="T103" s="18">
        <f t="shared" si="7"/>
        <v>0</v>
      </c>
    </row>
    <row r="104" spans="2:20" x14ac:dyDescent="0.25">
      <c r="B104" s="117" t="s">
        <v>717</v>
      </c>
      <c r="C104" s="136" t="s">
        <v>718</v>
      </c>
      <c r="D104" s="14" t="s">
        <v>24</v>
      </c>
      <c r="E104" s="14" t="s">
        <v>16</v>
      </c>
      <c r="F104" s="15">
        <v>46070</v>
      </c>
      <c r="G104" s="16">
        <v>0.04</v>
      </c>
      <c r="H104" s="15"/>
      <c r="I104" s="16"/>
      <c r="J104" s="15"/>
      <c r="K104" s="16"/>
      <c r="L104" s="15"/>
      <c r="M104" s="63"/>
      <c r="N104" s="17"/>
      <c r="O104" s="16"/>
      <c r="P104" s="16"/>
      <c r="Q104" s="152">
        <f t="shared" si="4"/>
        <v>0.04</v>
      </c>
      <c r="R104" s="152">
        <f t="shared" si="5"/>
        <v>0.04</v>
      </c>
      <c r="S104" s="152">
        <f t="shared" si="6"/>
        <v>0.04</v>
      </c>
      <c r="T104" s="18">
        <f t="shared" si="7"/>
        <v>0.04</v>
      </c>
    </row>
    <row r="105" spans="2:20" x14ac:dyDescent="0.25">
      <c r="B105" s="117" t="s">
        <v>203</v>
      </c>
      <c r="C105" s="136" t="s">
        <v>204</v>
      </c>
      <c r="D105" s="14" t="s">
        <v>15</v>
      </c>
      <c r="E105" s="14" t="s">
        <v>16</v>
      </c>
      <c r="F105" s="15"/>
      <c r="G105" s="16"/>
      <c r="H105" s="15"/>
      <c r="I105" s="16"/>
      <c r="J105" s="15"/>
      <c r="K105" s="16"/>
      <c r="L105" s="15"/>
      <c r="M105" s="63"/>
      <c r="N105" s="17"/>
      <c r="O105" s="16"/>
      <c r="P105" s="16"/>
      <c r="Q105" s="152">
        <f t="shared" si="4"/>
        <v>0</v>
      </c>
      <c r="R105" s="152">
        <f t="shared" si="5"/>
        <v>0</v>
      </c>
      <c r="S105" s="152">
        <f t="shared" si="6"/>
        <v>0</v>
      </c>
      <c r="T105" s="18">
        <f t="shared" si="7"/>
        <v>0</v>
      </c>
    </row>
    <row r="106" spans="2:20" x14ac:dyDescent="0.25">
      <c r="B106" s="117" t="s">
        <v>205</v>
      </c>
      <c r="C106" s="136" t="s">
        <v>206</v>
      </c>
      <c r="D106" s="14" t="s">
        <v>15</v>
      </c>
      <c r="E106" s="14" t="s">
        <v>16</v>
      </c>
      <c r="F106" s="15"/>
      <c r="G106" s="16"/>
      <c r="H106" s="15"/>
      <c r="I106" s="16"/>
      <c r="J106" s="15"/>
      <c r="K106" s="16"/>
      <c r="L106" s="15"/>
      <c r="M106" s="63"/>
      <c r="N106" s="17"/>
      <c r="O106" s="16"/>
      <c r="P106" s="16"/>
      <c r="Q106" s="152">
        <f t="shared" si="4"/>
        <v>0</v>
      </c>
      <c r="R106" s="152">
        <f t="shared" si="5"/>
        <v>0</v>
      </c>
      <c r="S106" s="152">
        <f t="shared" si="6"/>
        <v>0</v>
      </c>
      <c r="T106" s="18">
        <f t="shared" si="7"/>
        <v>0</v>
      </c>
    </row>
    <row r="107" spans="2:20" x14ac:dyDescent="0.25">
      <c r="B107" s="117" t="s">
        <v>207</v>
      </c>
      <c r="C107" s="136" t="s">
        <v>208</v>
      </c>
      <c r="D107" s="14" t="s">
        <v>15</v>
      </c>
      <c r="E107" s="14" t="s">
        <v>16</v>
      </c>
      <c r="F107" s="15">
        <v>46030</v>
      </c>
      <c r="G107" s="16">
        <v>0.5</v>
      </c>
      <c r="H107" s="15"/>
      <c r="I107" s="16"/>
      <c r="J107" s="15"/>
      <c r="K107" s="16"/>
      <c r="L107" s="15"/>
      <c r="M107" s="63"/>
      <c r="N107" s="17"/>
      <c r="O107" s="16"/>
      <c r="P107" s="16"/>
      <c r="Q107" s="152">
        <f t="shared" si="4"/>
        <v>0.5</v>
      </c>
      <c r="R107" s="152">
        <f t="shared" si="5"/>
        <v>0.5</v>
      </c>
      <c r="S107" s="152">
        <f t="shared" si="6"/>
        <v>0.5</v>
      </c>
      <c r="T107" s="18">
        <f t="shared" si="7"/>
        <v>0.5</v>
      </c>
    </row>
    <row r="108" spans="2:20" x14ac:dyDescent="0.25">
      <c r="B108" s="117" t="s">
        <v>942</v>
      </c>
      <c r="C108" s="136" t="s">
        <v>943</v>
      </c>
      <c r="D108" s="14" t="s">
        <v>941</v>
      </c>
      <c r="E108" s="14" t="s">
        <v>16</v>
      </c>
      <c r="F108" s="15">
        <v>46041</v>
      </c>
      <c r="G108" s="16">
        <v>0.23</v>
      </c>
      <c r="H108" s="15"/>
      <c r="I108" s="16"/>
      <c r="J108" s="15"/>
      <c r="K108" s="16"/>
      <c r="L108" s="15"/>
      <c r="M108" s="63"/>
      <c r="N108" s="17"/>
      <c r="O108" s="16"/>
      <c r="P108" s="16"/>
      <c r="Q108" s="152">
        <f t="shared" si="4"/>
        <v>0.23</v>
      </c>
      <c r="R108" s="152">
        <f t="shared" si="5"/>
        <v>0.23</v>
      </c>
      <c r="S108" s="152">
        <f t="shared" si="6"/>
        <v>0.23</v>
      </c>
      <c r="T108" s="18">
        <f t="shared" si="7"/>
        <v>0.23</v>
      </c>
    </row>
    <row r="109" spans="2:20" x14ac:dyDescent="0.25">
      <c r="B109" s="117" t="s">
        <v>211</v>
      </c>
      <c r="C109" s="136" t="s">
        <v>212</v>
      </c>
      <c r="D109" s="14" t="s">
        <v>24</v>
      </c>
      <c r="E109" s="14" t="s">
        <v>16</v>
      </c>
      <c r="F109" s="15"/>
      <c r="G109" s="16"/>
      <c r="H109" s="15"/>
      <c r="I109" s="16"/>
      <c r="J109" s="15"/>
      <c r="K109" s="16"/>
      <c r="L109" s="15"/>
      <c r="M109" s="63"/>
      <c r="N109" s="17"/>
      <c r="O109" s="16"/>
      <c r="P109" s="16"/>
      <c r="Q109" s="152">
        <f t="shared" si="4"/>
        <v>0</v>
      </c>
      <c r="R109" s="152">
        <f t="shared" si="5"/>
        <v>0</v>
      </c>
      <c r="S109" s="152">
        <f t="shared" si="6"/>
        <v>0</v>
      </c>
      <c r="T109" s="18">
        <f t="shared" si="7"/>
        <v>0</v>
      </c>
    </row>
    <row r="110" spans="2:20" x14ac:dyDescent="0.25">
      <c r="B110" s="117" t="s">
        <v>944</v>
      </c>
      <c r="C110" s="136" t="s">
        <v>945</v>
      </c>
      <c r="D110" s="14" t="s">
        <v>941</v>
      </c>
      <c r="E110" s="14" t="s">
        <v>16</v>
      </c>
      <c r="F110" s="15"/>
      <c r="G110" s="16"/>
      <c r="H110" s="15"/>
      <c r="I110" s="16"/>
      <c r="J110" s="15"/>
      <c r="K110" s="16"/>
      <c r="L110" s="15"/>
      <c r="M110" s="63"/>
      <c r="N110" s="17"/>
      <c r="O110" s="16"/>
      <c r="P110" s="16"/>
      <c r="Q110" s="152">
        <f t="shared" si="4"/>
        <v>0</v>
      </c>
      <c r="R110" s="152">
        <f t="shared" si="5"/>
        <v>0</v>
      </c>
      <c r="S110" s="152">
        <f t="shared" si="6"/>
        <v>0</v>
      </c>
      <c r="T110" s="18">
        <f t="shared" si="7"/>
        <v>0</v>
      </c>
    </row>
    <row r="111" spans="2:20" x14ac:dyDescent="0.25">
      <c r="B111" s="117" t="s">
        <v>621</v>
      </c>
      <c r="C111" s="136" t="s">
        <v>450</v>
      </c>
      <c r="D111" s="14" t="s">
        <v>15</v>
      </c>
      <c r="E111" s="14" t="s">
        <v>56</v>
      </c>
      <c r="F111" s="15">
        <v>46069</v>
      </c>
      <c r="G111" s="16">
        <v>0.37</v>
      </c>
      <c r="H111" s="15"/>
      <c r="I111" s="16"/>
      <c r="J111" s="15"/>
      <c r="K111" s="16"/>
      <c r="L111" s="15"/>
      <c r="M111" s="63"/>
      <c r="N111" s="17"/>
      <c r="O111" s="16"/>
      <c r="P111" s="16"/>
      <c r="Q111" s="152">
        <f t="shared" si="4"/>
        <v>0.37</v>
      </c>
      <c r="R111" s="152">
        <f t="shared" si="5"/>
        <v>0.37</v>
      </c>
      <c r="S111" s="152">
        <f t="shared" si="6"/>
        <v>0.37</v>
      </c>
      <c r="T111" s="18">
        <f t="shared" si="7"/>
        <v>0.37</v>
      </c>
    </row>
    <row r="112" spans="2:20" x14ac:dyDescent="0.25">
      <c r="B112" s="117" t="s">
        <v>215</v>
      </c>
      <c r="C112" s="136" t="s">
        <v>216</v>
      </c>
      <c r="D112" s="14" t="s">
        <v>15</v>
      </c>
      <c r="E112" s="14" t="s">
        <v>200</v>
      </c>
      <c r="F112" s="15"/>
      <c r="G112" s="16"/>
      <c r="H112" s="15"/>
      <c r="I112" s="16"/>
      <c r="J112" s="15"/>
      <c r="K112" s="16"/>
      <c r="L112" s="15"/>
      <c r="M112" s="63"/>
      <c r="N112" s="17"/>
      <c r="O112" s="16"/>
      <c r="P112" s="16"/>
      <c r="Q112" s="152">
        <f t="shared" si="4"/>
        <v>0</v>
      </c>
      <c r="R112" s="152">
        <f t="shared" si="5"/>
        <v>0</v>
      </c>
      <c r="S112" s="152">
        <f t="shared" si="6"/>
        <v>0</v>
      </c>
      <c r="T112" s="18">
        <f t="shared" si="7"/>
        <v>0</v>
      </c>
    </row>
    <row r="113" spans="2:20" x14ac:dyDescent="0.25">
      <c r="B113" s="117" t="s">
        <v>816</v>
      </c>
      <c r="C113" s="136" t="s">
        <v>817</v>
      </c>
      <c r="D113" s="14" t="s">
        <v>15</v>
      </c>
      <c r="E113" s="14" t="s">
        <v>16</v>
      </c>
      <c r="F113" s="15"/>
      <c r="G113" s="16"/>
      <c r="H113" s="15"/>
      <c r="I113" s="16"/>
      <c r="J113" s="15"/>
      <c r="K113" s="16"/>
      <c r="L113" s="15"/>
      <c r="M113" s="63"/>
      <c r="N113" s="17"/>
      <c r="O113" s="16"/>
      <c r="P113" s="16"/>
      <c r="Q113" s="152">
        <f t="shared" si="4"/>
        <v>0</v>
      </c>
      <c r="R113" s="152">
        <f t="shared" si="5"/>
        <v>0</v>
      </c>
      <c r="S113" s="152">
        <f t="shared" si="6"/>
        <v>0</v>
      </c>
      <c r="T113" s="18">
        <f t="shared" si="7"/>
        <v>0</v>
      </c>
    </row>
    <row r="114" spans="2:20" x14ac:dyDescent="0.25">
      <c r="B114" s="117" t="s">
        <v>632</v>
      </c>
      <c r="C114" s="136" t="s">
        <v>218</v>
      </c>
      <c r="D114" s="14" t="s">
        <v>24</v>
      </c>
      <c r="E114" s="14" t="s">
        <v>16</v>
      </c>
      <c r="F114" s="15"/>
      <c r="G114" s="16"/>
      <c r="H114" s="15"/>
      <c r="I114" s="16"/>
      <c r="J114" s="15"/>
      <c r="K114" s="16"/>
      <c r="L114" s="15"/>
      <c r="M114" s="63"/>
      <c r="N114" s="17"/>
      <c r="O114" s="16"/>
      <c r="P114" s="16"/>
      <c r="Q114" s="152">
        <f t="shared" si="4"/>
        <v>0</v>
      </c>
      <c r="R114" s="152">
        <f t="shared" si="5"/>
        <v>0</v>
      </c>
      <c r="S114" s="152">
        <f t="shared" si="6"/>
        <v>0</v>
      </c>
      <c r="T114" s="18">
        <f t="shared" si="7"/>
        <v>0</v>
      </c>
    </row>
    <row r="115" spans="2:20" x14ac:dyDescent="0.25">
      <c r="B115" s="117" t="s">
        <v>852</v>
      </c>
      <c r="C115" s="136" t="s">
        <v>846</v>
      </c>
      <c r="D115" s="14" t="s">
        <v>15</v>
      </c>
      <c r="E115" s="14" t="s">
        <v>200</v>
      </c>
      <c r="F115" s="15"/>
      <c r="G115" s="16"/>
      <c r="H115" s="15"/>
      <c r="I115" s="16"/>
      <c r="J115" s="15"/>
      <c r="K115" s="16"/>
      <c r="L115" s="15"/>
      <c r="M115" s="63"/>
      <c r="N115" s="17"/>
      <c r="O115" s="16"/>
      <c r="P115" s="16"/>
      <c r="Q115" s="152">
        <f t="shared" si="4"/>
        <v>0</v>
      </c>
      <c r="R115" s="152">
        <f t="shared" si="5"/>
        <v>0</v>
      </c>
      <c r="S115" s="152">
        <f t="shared" si="6"/>
        <v>0</v>
      </c>
      <c r="T115" s="18">
        <f t="shared" si="7"/>
        <v>0</v>
      </c>
    </row>
    <row r="116" spans="2:20" x14ac:dyDescent="0.25">
      <c r="B116" s="117" t="s">
        <v>808</v>
      </c>
      <c r="C116" s="136" t="s">
        <v>809</v>
      </c>
      <c r="D116" s="14" t="s">
        <v>714</v>
      </c>
      <c r="E116" s="14" t="s">
        <v>16</v>
      </c>
      <c r="F116" s="15"/>
      <c r="G116" s="16"/>
      <c r="H116" s="15"/>
      <c r="I116" s="16"/>
      <c r="J116" s="15"/>
      <c r="K116" s="16"/>
      <c r="L116" s="15"/>
      <c r="M116" s="63"/>
      <c r="N116" s="17"/>
      <c r="O116" s="16"/>
      <c r="P116" s="16"/>
      <c r="Q116" s="152">
        <f t="shared" si="4"/>
        <v>0</v>
      </c>
      <c r="R116" s="152">
        <f t="shared" si="5"/>
        <v>0</v>
      </c>
      <c r="S116" s="152">
        <f t="shared" si="6"/>
        <v>0</v>
      </c>
      <c r="T116" s="18">
        <f t="shared" si="7"/>
        <v>0</v>
      </c>
    </row>
    <row r="117" spans="2:20" x14ac:dyDescent="0.25">
      <c r="B117" s="117" t="s">
        <v>873</v>
      </c>
      <c r="C117" s="136" t="s">
        <v>874</v>
      </c>
      <c r="D117" s="14" t="s">
        <v>15</v>
      </c>
      <c r="E117" s="14" t="s">
        <v>16</v>
      </c>
      <c r="F117" s="15"/>
      <c r="G117" s="16"/>
      <c r="H117" s="15"/>
      <c r="I117" s="16"/>
      <c r="J117" s="15"/>
      <c r="K117" s="16"/>
      <c r="L117" s="15"/>
      <c r="M117" s="63"/>
      <c r="N117" s="17"/>
      <c r="O117" s="16"/>
      <c r="P117" s="16"/>
      <c r="Q117" s="152">
        <f t="shared" si="4"/>
        <v>0</v>
      </c>
      <c r="R117" s="152">
        <f t="shared" si="5"/>
        <v>0</v>
      </c>
      <c r="S117" s="152">
        <f t="shared" si="6"/>
        <v>0</v>
      </c>
      <c r="T117" s="18">
        <f t="shared" si="7"/>
        <v>0</v>
      </c>
    </row>
    <row r="118" spans="2:20" x14ac:dyDescent="0.25">
      <c r="B118" s="117" t="s">
        <v>219</v>
      </c>
      <c r="C118" s="136" t="s">
        <v>220</v>
      </c>
      <c r="D118" s="14" t="s">
        <v>24</v>
      </c>
      <c r="E118" s="14" t="s">
        <v>16</v>
      </c>
      <c r="F118" s="15"/>
      <c r="G118" s="16"/>
      <c r="H118" s="15"/>
      <c r="I118" s="16"/>
      <c r="J118" s="15"/>
      <c r="K118" s="16"/>
      <c r="L118" s="15"/>
      <c r="M118" s="63"/>
      <c r="N118" s="17"/>
      <c r="O118" s="16"/>
      <c r="P118" s="16"/>
      <c r="Q118" s="152">
        <f t="shared" si="4"/>
        <v>0</v>
      </c>
      <c r="R118" s="152">
        <f t="shared" si="5"/>
        <v>0</v>
      </c>
      <c r="S118" s="152">
        <f t="shared" si="6"/>
        <v>0</v>
      </c>
      <c r="T118" s="18">
        <f t="shared" si="7"/>
        <v>0</v>
      </c>
    </row>
    <row r="119" spans="2:20" x14ac:dyDescent="0.25">
      <c r="B119" s="117" t="s">
        <v>851</v>
      </c>
      <c r="C119" s="136" t="s">
        <v>847</v>
      </c>
      <c r="D119" s="14" t="s">
        <v>15</v>
      </c>
      <c r="E119" s="14" t="s">
        <v>16</v>
      </c>
      <c r="F119" s="15"/>
      <c r="G119" s="16"/>
      <c r="H119" s="15"/>
      <c r="I119" s="16"/>
      <c r="J119" s="15"/>
      <c r="K119" s="16"/>
      <c r="L119" s="15"/>
      <c r="M119" s="63"/>
      <c r="N119" s="17"/>
      <c r="O119" s="16"/>
      <c r="P119" s="16"/>
      <c r="Q119" s="152">
        <f t="shared" si="4"/>
        <v>0</v>
      </c>
      <c r="R119" s="152">
        <f t="shared" si="5"/>
        <v>0</v>
      </c>
      <c r="S119" s="152">
        <f t="shared" si="6"/>
        <v>0</v>
      </c>
      <c r="T119" s="18">
        <f t="shared" si="7"/>
        <v>0</v>
      </c>
    </row>
    <row r="120" spans="2:20" x14ac:dyDescent="0.25">
      <c r="B120" s="117" t="s">
        <v>906</v>
      </c>
      <c r="C120" s="136" t="s">
        <v>907</v>
      </c>
      <c r="D120" s="14" t="s">
        <v>15</v>
      </c>
      <c r="E120" s="14" t="s">
        <v>16</v>
      </c>
      <c r="F120" s="15"/>
      <c r="G120" s="16"/>
      <c r="H120" s="15"/>
      <c r="I120" s="16"/>
      <c r="J120" s="15"/>
      <c r="K120" s="16"/>
      <c r="L120" s="15"/>
      <c r="M120" s="63"/>
      <c r="N120" s="17"/>
      <c r="O120" s="16"/>
      <c r="P120" s="16"/>
      <c r="Q120" s="152">
        <f t="shared" si="4"/>
        <v>0</v>
      </c>
      <c r="R120" s="152">
        <f t="shared" si="5"/>
        <v>0</v>
      </c>
      <c r="S120" s="152">
        <f t="shared" si="6"/>
        <v>0</v>
      </c>
      <c r="T120" s="18">
        <f t="shared" si="7"/>
        <v>0</v>
      </c>
    </row>
    <row r="121" spans="2:20" x14ac:dyDescent="0.25">
      <c r="B121" s="117" t="s">
        <v>221</v>
      </c>
      <c r="C121" s="136" t="s">
        <v>222</v>
      </c>
      <c r="D121" s="14" t="s">
        <v>15</v>
      </c>
      <c r="E121" s="14" t="s">
        <v>56</v>
      </c>
      <c r="F121" s="15"/>
      <c r="G121" s="16"/>
      <c r="H121" s="15"/>
      <c r="I121" s="16"/>
      <c r="J121" s="15"/>
      <c r="K121" s="16"/>
      <c r="L121" s="15"/>
      <c r="M121" s="63"/>
      <c r="N121" s="17"/>
      <c r="O121" s="16"/>
      <c r="P121" s="16"/>
      <c r="Q121" s="152">
        <f t="shared" si="4"/>
        <v>0</v>
      </c>
      <c r="R121" s="152">
        <f t="shared" si="5"/>
        <v>0</v>
      </c>
      <c r="S121" s="152">
        <f t="shared" si="6"/>
        <v>0</v>
      </c>
      <c r="T121" s="18">
        <f t="shared" si="7"/>
        <v>0</v>
      </c>
    </row>
    <row r="122" spans="2:20" x14ac:dyDescent="0.25">
      <c r="B122" s="117" t="s">
        <v>719</v>
      </c>
      <c r="C122" s="136" t="s">
        <v>950</v>
      </c>
      <c r="D122" s="14" t="s">
        <v>941</v>
      </c>
      <c r="E122" s="14" t="s">
        <v>16</v>
      </c>
      <c r="F122" s="15"/>
      <c r="G122" s="16"/>
      <c r="H122" s="15"/>
      <c r="I122" s="16"/>
      <c r="J122" s="15"/>
      <c r="K122" s="16"/>
      <c r="L122" s="15"/>
      <c r="M122" s="63"/>
      <c r="N122" s="17"/>
      <c r="O122" s="16"/>
      <c r="P122" s="16"/>
      <c r="Q122" s="152">
        <f t="shared" si="4"/>
        <v>0</v>
      </c>
      <c r="R122" s="152">
        <f t="shared" si="5"/>
        <v>0</v>
      </c>
      <c r="S122" s="152">
        <f t="shared" si="6"/>
        <v>0</v>
      </c>
      <c r="T122" s="18">
        <f t="shared" si="7"/>
        <v>0</v>
      </c>
    </row>
    <row r="123" spans="2:20" x14ac:dyDescent="0.25">
      <c r="B123" s="117" t="s">
        <v>225</v>
      </c>
      <c r="C123" s="136" t="s">
        <v>226</v>
      </c>
      <c r="D123" s="14" t="s">
        <v>15</v>
      </c>
      <c r="E123" s="14" t="s">
        <v>16</v>
      </c>
      <c r="F123" s="15"/>
      <c r="G123" s="16"/>
      <c r="H123" s="15"/>
      <c r="I123" s="16"/>
      <c r="J123" s="15"/>
      <c r="K123" s="16"/>
      <c r="L123" s="15"/>
      <c r="M123" s="63"/>
      <c r="N123" s="17"/>
      <c r="O123" s="16"/>
      <c r="P123" s="16"/>
      <c r="Q123" s="152">
        <f t="shared" si="4"/>
        <v>0</v>
      </c>
      <c r="R123" s="152">
        <f t="shared" si="5"/>
        <v>0</v>
      </c>
      <c r="S123" s="152">
        <f t="shared" si="6"/>
        <v>0</v>
      </c>
      <c r="T123" s="18">
        <f t="shared" si="7"/>
        <v>0</v>
      </c>
    </row>
    <row r="124" spans="2:20" x14ac:dyDescent="0.25">
      <c r="B124" s="117" t="s">
        <v>810</v>
      </c>
      <c r="C124" s="136" t="s">
        <v>811</v>
      </c>
      <c r="D124" s="14" t="s">
        <v>15</v>
      </c>
      <c r="E124" s="14" t="s">
        <v>16</v>
      </c>
      <c r="F124" s="15"/>
      <c r="G124" s="16"/>
      <c r="H124" s="15"/>
      <c r="I124" s="16"/>
      <c r="J124" s="15"/>
      <c r="K124" s="16"/>
      <c r="L124" s="15"/>
      <c r="M124" s="63"/>
      <c r="N124" s="17"/>
      <c r="O124" s="16"/>
      <c r="P124" s="16"/>
      <c r="Q124" s="152">
        <f t="shared" si="4"/>
        <v>0</v>
      </c>
      <c r="R124" s="152">
        <f t="shared" si="5"/>
        <v>0</v>
      </c>
      <c r="S124" s="152">
        <f t="shared" si="6"/>
        <v>0</v>
      </c>
      <c r="T124" s="18">
        <f t="shared" si="7"/>
        <v>0</v>
      </c>
    </row>
    <row r="125" spans="2:20" x14ac:dyDescent="0.25">
      <c r="B125" s="117" t="s">
        <v>229</v>
      </c>
      <c r="C125" s="136" t="s">
        <v>230</v>
      </c>
      <c r="D125" s="14" t="s">
        <v>15</v>
      </c>
      <c r="E125" s="14" t="s">
        <v>16</v>
      </c>
      <c r="F125" s="15"/>
      <c r="G125" s="16"/>
      <c r="H125" s="15"/>
      <c r="I125" s="16"/>
      <c r="J125" s="15"/>
      <c r="K125" s="16"/>
      <c r="L125" s="15"/>
      <c r="M125" s="63"/>
      <c r="N125" s="17"/>
      <c r="O125" s="16"/>
      <c r="P125" s="16"/>
      <c r="Q125" s="152">
        <f t="shared" si="4"/>
        <v>0</v>
      </c>
      <c r="R125" s="152">
        <f t="shared" si="5"/>
        <v>0</v>
      </c>
      <c r="S125" s="152">
        <f t="shared" si="6"/>
        <v>0</v>
      </c>
      <c r="T125" s="18">
        <f t="shared" si="7"/>
        <v>0</v>
      </c>
    </row>
    <row r="126" spans="2:20" x14ac:dyDescent="0.25">
      <c r="B126" s="117" t="s">
        <v>231</v>
      </c>
      <c r="C126" s="136" t="s">
        <v>232</v>
      </c>
      <c r="D126" s="14" t="s">
        <v>15</v>
      </c>
      <c r="E126" s="14" t="s">
        <v>16</v>
      </c>
      <c r="F126" s="15"/>
      <c r="G126" s="16"/>
      <c r="H126" s="15"/>
      <c r="I126" s="16"/>
      <c r="J126" s="15"/>
      <c r="K126" s="16"/>
      <c r="L126" s="15"/>
      <c r="M126" s="63"/>
      <c r="N126" s="17"/>
      <c r="O126" s="16"/>
      <c r="P126" s="47"/>
      <c r="Q126" s="152">
        <f t="shared" si="4"/>
        <v>0</v>
      </c>
      <c r="R126" s="152">
        <f t="shared" si="5"/>
        <v>0</v>
      </c>
      <c r="S126" s="152">
        <f t="shared" si="6"/>
        <v>0</v>
      </c>
      <c r="T126" s="18">
        <f t="shared" si="7"/>
        <v>0</v>
      </c>
    </row>
    <row r="127" spans="2:20" x14ac:dyDescent="0.25">
      <c r="B127" s="117" t="s">
        <v>867</v>
      </c>
      <c r="C127" s="136" t="s">
        <v>868</v>
      </c>
      <c r="D127" s="14" t="s">
        <v>15</v>
      </c>
      <c r="E127" s="14" t="s">
        <v>16</v>
      </c>
      <c r="F127" s="15"/>
      <c r="G127" s="16"/>
      <c r="H127" s="15"/>
      <c r="I127" s="16"/>
      <c r="J127" s="15"/>
      <c r="K127" s="16"/>
      <c r="L127" s="15"/>
      <c r="M127" s="63"/>
      <c r="N127" s="17"/>
      <c r="O127" s="16"/>
      <c r="P127" s="47"/>
      <c r="Q127" s="152">
        <f t="shared" si="4"/>
        <v>0</v>
      </c>
      <c r="R127" s="152">
        <f t="shared" si="5"/>
        <v>0</v>
      </c>
      <c r="S127" s="152">
        <f t="shared" si="6"/>
        <v>0</v>
      </c>
      <c r="T127" s="18">
        <f t="shared" si="7"/>
        <v>0</v>
      </c>
    </row>
    <row r="128" spans="2:20" x14ac:dyDescent="0.25">
      <c r="B128" s="117" t="s">
        <v>796</v>
      </c>
      <c r="C128" s="136" t="s">
        <v>797</v>
      </c>
      <c r="D128" s="14" t="s">
        <v>15</v>
      </c>
      <c r="E128" s="14" t="s">
        <v>56</v>
      </c>
      <c r="F128" s="15"/>
      <c r="G128" s="16"/>
      <c r="H128" s="15"/>
      <c r="I128" s="16"/>
      <c r="J128" s="15"/>
      <c r="K128" s="16"/>
      <c r="L128" s="15"/>
      <c r="M128" s="63"/>
      <c r="N128" s="17"/>
      <c r="O128" s="16"/>
      <c r="P128" s="47"/>
      <c r="Q128" s="152">
        <f t="shared" si="4"/>
        <v>0</v>
      </c>
      <c r="R128" s="152">
        <f t="shared" si="5"/>
        <v>0</v>
      </c>
      <c r="S128" s="152">
        <f t="shared" si="6"/>
        <v>0</v>
      </c>
      <c r="T128" s="18">
        <f t="shared" si="7"/>
        <v>0</v>
      </c>
    </row>
    <row r="129" spans="2:20" x14ac:dyDescent="0.25">
      <c r="B129" s="117" t="s">
        <v>233</v>
      </c>
      <c r="C129" s="136" t="s">
        <v>234</v>
      </c>
      <c r="D129" s="14" t="s">
        <v>15</v>
      </c>
      <c r="E129" s="14" t="s">
        <v>16</v>
      </c>
      <c r="F129" s="15"/>
      <c r="G129" s="16"/>
      <c r="H129" s="15"/>
      <c r="I129" s="16"/>
      <c r="J129" s="15"/>
      <c r="K129" s="16"/>
      <c r="L129" s="15"/>
      <c r="M129" s="63"/>
      <c r="N129" s="17"/>
      <c r="O129" s="16"/>
      <c r="P129" s="47"/>
      <c r="Q129" s="152">
        <f t="shared" si="4"/>
        <v>0</v>
      </c>
      <c r="R129" s="152">
        <f t="shared" si="5"/>
        <v>0</v>
      </c>
      <c r="S129" s="152">
        <f t="shared" si="6"/>
        <v>0</v>
      </c>
      <c r="T129" s="18">
        <f t="shared" si="7"/>
        <v>0</v>
      </c>
    </row>
    <row r="130" spans="2:20" x14ac:dyDescent="0.25">
      <c r="B130" s="117" t="s">
        <v>235</v>
      </c>
      <c r="C130" s="136" t="s">
        <v>236</v>
      </c>
      <c r="D130" s="14" t="s">
        <v>237</v>
      </c>
      <c r="E130" s="14" t="s">
        <v>16</v>
      </c>
      <c r="F130" s="15"/>
      <c r="G130" s="16"/>
      <c r="H130" s="15"/>
      <c r="I130" s="16"/>
      <c r="J130" s="15"/>
      <c r="K130" s="16"/>
      <c r="L130" s="15"/>
      <c r="M130" s="63"/>
      <c r="N130" s="17"/>
      <c r="O130" s="16"/>
      <c r="P130" s="16"/>
      <c r="Q130" s="152">
        <f t="shared" si="4"/>
        <v>0</v>
      </c>
      <c r="R130" s="152">
        <f t="shared" si="5"/>
        <v>0</v>
      </c>
      <c r="S130" s="152">
        <f t="shared" si="6"/>
        <v>0</v>
      </c>
      <c r="T130" s="18">
        <f t="shared" si="7"/>
        <v>0</v>
      </c>
    </row>
    <row r="131" spans="2:20" x14ac:dyDescent="0.25">
      <c r="B131" s="117" t="s">
        <v>242</v>
      </c>
      <c r="C131" s="136" t="s">
        <v>243</v>
      </c>
      <c r="D131" s="14" t="s">
        <v>15</v>
      </c>
      <c r="E131" s="14" t="s">
        <v>21</v>
      </c>
      <c r="F131" s="15"/>
      <c r="G131" s="16"/>
      <c r="H131" s="15"/>
      <c r="I131" s="16"/>
      <c r="J131" s="15"/>
      <c r="K131" s="16"/>
      <c r="L131" s="15"/>
      <c r="M131" s="63"/>
      <c r="N131" s="17"/>
      <c r="O131" s="16"/>
      <c r="P131" s="16"/>
      <c r="Q131" s="152">
        <f t="shared" si="4"/>
        <v>0</v>
      </c>
      <c r="R131" s="152">
        <f t="shared" si="5"/>
        <v>0</v>
      </c>
      <c r="S131" s="152">
        <f t="shared" si="6"/>
        <v>0</v>
      </c>
      <c r="T131" s="18">
        <f t="shared" si="7"/>
        <v>0</v>
      </c>
    </row>
    <row r="132" spans="2:20" x14ac:dyDescent="0.25">
      <c r="B132" s="117" t="s">
        <v>946</v>
      </c>
      <c r="C132" s="136" t="s">
        <v>947</v>
      </c>
      <c r="D132" s="14" t="s">
        <v>941</v>
      </c>
      <c r="E132" s="14" t="s">
        <v>16</v>
      </c>
      <c r="F132" s="15"/>
      <c r="G132" s="16"/>
      <c r="H132" s="15"/>
      <c r="I132" s="16"/>
      <c r="J132" s="15"/>
      <c r="K132" s="16"/>
      <c r="L132" s="15"/>
      <c r="M132" s="63"/>
      <c r="N132" s="17"/>
      <c r="O132" s="16"/>
      <c r="P132" s="16"/>
      <c r="Q132" s="152">
        <f t="shared" si="4"/>
        <v>0</v>
      </c>
      <c r="R132" s="152">
        <f t="shared" si="5"/>
        <v>0</v>
      </c>
      <c r="S132" s="152">
        <f t="shared" si="6"/>
        <v>0</v>
      </c>
      <c r="T132" s="18">
        <f t="shared" si="7"/>
        <v>0</v>
      </c>
    </row>
    <row r="133" spans="2:20" x14ac:dyDescent="0.25">
      <c r="B133" s="117" t="s">
        <v>825</v>
      </c>
      <c r="C133" s="136" t="s">
        <v>824</v>
      </c>
      <c r="D133" s="14" t="s">
        <v>15</v>
      </c>
      <c r="E133" s="14" t="s">
        <v>200</v>
      </c>
      <c r="F133" s="15"/>
      <c r="G133" s="16"/>
      <c r="H133" s="15"/>
      <c r="I133" s="16"/>
      <c r="J133" s="15"/>
      <c r="K133" s="16"/>
      <c r="L133" s="15"/>
      <c r="M133" s="63"/>
      <c r="N133" s="17"/>
      <c r="O133" s="16"/>
      <c r="P133" s="16"/>
      <c r="Q133" s="152">
        <f t="shared" si="4"/>
        <v>0</v>
      </c>
      <c r="R133" s="152">
        <f t="shared" si="5"/>
        <v>0</v>
      </c>
      <c r="S133" s="152">
        <f t="shared" si="6"/>
        <v>0</v>
      </c>
      <c r="T133" s="18">
        <f t="shared" si="7"/>
        <v>0</v>
      </c>
    </row>
    <row r="134" spans="2:20" x14ac:dyDescent="0.25">
      <c r="B134" s="117" t="s">
        <v>248</v>
      </c>
      <c r="C134" s="136" t="s">
        <v>249</v>
      </c>
      <c r="D134" s="14" t="s">
        <v>15</v>
      </c>
      <c r="E134" s="14" t="s">
        <v>21</v>
      </c>
      <c r="F134" s="15"/>
      <c r="G134" s="16"/>
      <c r="H134" s="15"/>
      <c r="I134" s="16"/>
      <c r="J134" s="15"/>
      <c r="K134" s="16"/>
      <c r="L134" s="15"/>
      <c r="M134" s="63"/>
      <c r="N134" s="17"/>
      <c r="O134" s="16"/>
      <c r="P134" s="16"/>
      <c r="Q134" s="152">
        <f t="shared" si="4"/>
        <v>0</v>
      </c>
      <c r="R134" s="152">
        <f t="shared" si="5"/>
        <v>0</v>
      </c>
      <c r="S134" s="152">
        <f t="shared" si="6"/>
        <v>0</v>
      </c>
      <c r="T134" s="18">
        <f t="shared" si="7"/>
        <v>0</v>
      </c>
    </row>
    <row r="135" spans="2:20" x14ac:dyDescent="0.25">
      <c r="B135" s="117" t="s">
        <v>915</v>
      </c>
      <c r="C135" s="136" t="s">
        <v>916</v>
      </c>
      <c r="D135" s="14" t="s">
        <v>755</v>
      </c>
      <c r="E135" s="14" t="s">
        <v>475</v>
      </c>
      <c r="F135" s="15"/>
      <c r="G135" s="16"/>
      <c r="H135" s="15"/>
      <c r="I135" s="16"/>
      <c r="J135" s="15"/>
      <c r="K135" s="16"/>
      <c r="L135" s="15"/>
      <c r="M135" s="63"/>
      <c r="N135" s="17"/>
      <c r="O135" s="16"/>
      <c r="P135" s="16"/>
      <c r="Q135" s="152">
        <f t="shared" si="4"/>
        <v>0</v>
      </c>
      <c r="R135" s="152">
        <f t="shared" si="5"/>
        <v>0</v>
      </c>
      <c r="S135" s="152">
        <f t="shared" si="6"/>
        <v>0</v>
      </c>
      <c r="T135" s="18">
        <f t="shared" si="7"/>
        <v>0</v>
      </c>
    </row>
    <row r="136" spans="2:20" x14ac:dyDescent="0.25">
      <c r="B136" s="117" t="s">
        <v>252</v>
      </c>
      <c r="C136" s="136" t="s">
        <v>253</v>
      </c>
      <c r="D136" s="14" t="s">
        <v>15</v>
      </c>
      <c r="E136" s="14" t="s">
        <v>56</v>
      </c>
      <c r="F136" s="15"/>
      <c r="G136" s="16"/>
      <c r="H136" s="15"/>
      <c r="I136" s="16"/>
      <c r="J136" s="15"/>
      <c r="K136" s="16"/>
      <c r="L136" s="15"/>
      <c r="M136" s="63"/>
      <c r="N136" s="17"/>
      <c r="O136" s="16"/>
      <c r="P136" s="16"/>
      <c r="Q136" s="152">
        <f t="shared" si="4"/>
        <v>0</v>
      </c>
      <c r="R136" s="152">
        <f t="shared" si="5"/>
        <v>0</v>
      </c>
      <c r="S136" s="152">
        <f t="shared" si="6"/>
        <v>0</v>
      </c>
      <c r="T136" s="18">
        <f t="shared" si="7"/>
        <v>0</v>
      </c>
    </row>
    <row r="137" spans="2:20" x14ac:dyDescent="0.25">
      <c r="B137" s="117" t="s">
        <v>254</v>
      </c>
      <c r="C137" s="136" t="s">
        <v>255</v>
      </c>
      <c r="D137" s="14" t="s">
        <v>27</v>
      </c>
      <c r="E137" s="14" t="s">
        <v>16</v>
      </c>
      <c r="F137" s="15"/>
      <c r="G137" s="16"/>
      <c r="H137" s="15"/>
      <c r="I137" s="16"/>
      <c r="J137" s="15"/>
      <c r="K137" s="16"/>
      <c r="L137" s="15"/>
      <c r="M137" s="63"/>
      <c r="N137" s="17"/>
      <c r="O137" s="16"/>
      <c r="P137" s="16"/>
      <c r="Q137" s="152">
        <f t="shared" si="4"/>
        <v>0</v>
      </c>
      <c r="R137" s="152">
        <f t="shared" si="5"/>
        <v>0</v>
      </c>
      <c r="S137" s="152">
        <f t="shared" si="6"/>
        <v>0</v>
      </c>
      <c r="T137" s="18">
        <f t="shared" si="7"/>
        <v>0</v>
      </c>
    </row>
    <row r="138" spans="2:20" x14ac:dyDescent="0.25">
      <c r="B138" s="117" t="s">
        <v>883</v>
      </c>
      <c r="C138" s="136" t="s">
        <v>251</v>
      </c>
      <c r="D138" s="14" t="s">
        <v>15</v>
      </c>
      <c r="E138" s="14" t="s">
        <v>761</v>
      </c>
      <c r="F138" s="15">
        <v>46072</v>
      </c>
      <c r="G138" s="16">
        <v>8.32</v>
      </c>
      <c r="H138" s="15"/>
      <c r="I138" s="16"/>
      <c r="J138" s="15"/>
      <c r="K138" s="16"/>
      <c r="L138" s="15"/>
      <c r="M138" s="63"/>
      <c r="N138" s="17"/>
      <c r="O138" s="16"/>
      <c r="P138" s="16"/>
      <c r="Q138" s="152">
        <f t="shared" si="4"/>
        <v>8.32</v>
      </c>
      <c r="R138" s="152">
        <f t="shared" si="5"/>
        <v>8.32</v>
      </c>
      <c r="S138" s="152">
        <f t="shared" si="6"/>
        <v>8.32</v>
      </c>
      <c r="T138" s="18">
        <f t="shared" si="7"/>
        <v>8.32</v>
      </c>
    </row>
    <row r="139" spans="2:20" x14ac:dyDescent="0.25">
      <c r="B139" s="117" t="s">
        <v>935</v>
      </c>
      <c r="C139" s="136" t="s">
        <v>870</v>
      </c>
      <c r="D139" s="39" t="s">
        <v>15</v>
      </c>
      <c r="E139" s="39" t="s">
        <v>16</v>
      </c>
      <c r="F139" s="15"/>
      <c r="G139" s="16"/>
      <c r="H139" s="15"/>
      <c r="I139" s="16"/>
      <c r="J139" s="15"/>
      <c r="K139" s="16"/>
      <c r="L139" s="15"/>
      <c r="M139" s="63"/>
      <c r="N139" s="17"/>
      <c r="O139" s="16"/>
      <c r="P139" s="16"/>
      <c r="Q139" s="152">
        <f t="shared" si="4"/>
        <v>0</v>
      </c>
      <c r="R139" s="152">
        <f t="shared" si="5"/>
        <v>0</v>
      </c>
      <c r="S139" s="152">
        <f t="shared" si="6"/>
        <v>0</v>
      </c>
      <c r="T139" s="18">
        <f t="shared" si="7"/>
        <v>0</v>
      </c>
    </row>
    <row r="140" spans="2:20" x14ac:dyDescent="0.25">
      <c r="B140" s="117" t="s">
        <v>256</v>
      </c>
      <c r="C140" s="136" t="s">
        <v>257</v>
      </c>
      <c r="D140" s="39" t="s">
        <v>15</v>
      </c>
      <c r="E140" s="39" t="s">
        <v>16</v>
      </c>
      <c r="F140" s="15"/>
      <c r="G140" s="16"/>
      <c r="H140" s="15"/>
      <c r="I140" s="16"/>
      <c r="J140" s="15"/>
      <c r="K140" s="16"/>
      <c r="L140" s="15"/>
      <c r="M140" s="63"/>
      <c r="N140" s="17"/>
      <c r="O140" s="16"/>
      <c r="P140" s="16"/>
      <c r="Q140" s="152">
        <f t="shared" si="4"/>
        <v>0</v>
      </c>
      <c r="R140" s="152">
        <f t="shared" si="5"/>
        <v>0</v>
      </c>
      <c r="S140" s="152">
        <f t="shared" si="6"/>
        <v>0</v>
      </c>
      <c r="T140" s="18">
        <f t="shared" si="7"/>
        <v>0</v>
      </c>
    </row>
    <row r="141" spans="2:20" x14ac:dyDescent="0.25">
      <c r="B141" s="117" t="s">
        <v>258</v>
      </c>
      <c r="C141" s="136" t="s">
        <v>259</v>
      </c>
      <c r="D141" s="14" t="s">
        <v>15</v>
      </c>
      <c r="E141" s="14" t="s">
        <v>16</v>
      </c>
      <c r="F141" s="15"/>
      <c r="G141" s="16"/>
      <c r="H141" s="15"/>
      <c r="I141" s="16"/>
      <c r="J141" s="15"/>
      <c r="K141" s="16"/>
      <c r="L141" s="15"/>
      <c r="M141" s="63"/>
      <c r="N141" s="17"/>
      <c r="O141" s="16"/>
      <c r="P141" s="16"/>
      <c r="Q141" s="152">
        <f t="shared" si="4"/>
        <v>0</v>
      </c>
      <c r="R141" s="152">
        <f t="shared" si="5"/>
        <v>0</v>
      </c>
      <c r="S141" s="152">
        <f t="shared" si="6"/>
        <v>0</v>
      </c>
      <c r="T141" s="18">
        <f t="shared" si="7"/>
        <v>0</v>
      </c>
    </row>
    <row r="142" spans="2:20" x14ac:dyDescent="0.25">
      <c r="B142" s="117" t="s">
        <v>260</v>
      </c>
      <c r="C142" s="136" t="s">
        <v>261</v>
      </c>
      <c r="D142" s="14" t="s">
        <v>15</v>
      </c>
      <c r="E142" s="14" t="s">
        <v>200</v>
      </c>
      <c r="F142" s="15"/>
      <c r="G142" s="16"/>
      <c r="H142" s="15"/>
      <c r="I142" s="16"/>
      <c r="J142" s="15"/>
      <c r="K142" s="16"/>
      <c r="L142" s="15"/>
      <c r="M142" s="63"/>
      <c r="N142" s="17"/>
      <c r="O142" s="16"/>
      <c r="P142" s="16"/>
      <c r="Q142" s="152">
        <f t="shared" ref="Q142:Q204" si="8">IF(F142&lt;=Exp26Q1,G142,0)+IF(H142&lt;=Exp26Q1,I142,0)+IF(J142&lt;=Exp26Q1,K142,0)+IF(L142&lt;=Exp26Q1,M142,0)+IF(N142&lt;=Exp26Q1,O142,0)</f>
        <v>0</v>
      </c>
      <c r="R142" s="152">
        <f t="shared" ref="R142:R204" si="9">IF(F142&lt;=Exp26H1,G142,0)+IF(H142&lt;=Exp26H1,I142,0)+IF(J142&lt;=Exp26H1,K142,0)+IF(L142&lt;=Exp26H1,M142,0)+IF(N142&lt;=Exp26H1,O142,0)</f>
        <v>0</v>
      </c>
      <c r="S142" s="152">
        <f t="shared" ref="S142:S204" si="10">IF(F142&lt;=Exp26Q3,G142,0)+IF(H142&lt;=Exp26Q3,I142,0)+IF(J142&lt;=Exp26Q3,K142,0)+IF(L142&lt;=Exp26Q3,M142,0)+IF(N142&lt;=Exp26Q3,O142,0)</f>
        <v>0</v>
      </c>
      <c r="T142" s="18">
        <f t="shared" si="7"/>
        <v>0</v>
      </c>
    </row>
    <row r="143" spans="2:20" x14ac:dyDescent="0.25">
      <c r="B143" s="117" t="s">
        <v>626</v>
      </c>
      <c r="C143" s="136" t="s">
        <v>627</v>
      </c>
      <c r="D143" s="14" t="s">
        <v>24</v>
      </c>
      <c r="E143" s="14" t="s">
        <v>16</v>
      </c>
      <c r="F143" s="15">
        <v>46069</v>
      </c>
      <c r="G143" s="16">
        <v>5</v>
      </c>
      <c r="H143" s="15"/>
      <c r="I143" s="16"/>
      <c r="J143" s="15"/>
      <c r="K143" s="16"/>
      <c r="L143" s="15"/>
      <c r="M143" s="63"/>
      <c r="N143" s="17"/>
      <c r="O143" s="16"/>
      <c r="P143" s="16"/>
      <c r="Q143" s="152">
        <f t="shared" si="8"/>
        <v>5</v>
      </c>
      <c r="R143" s="152">
        <f t="shared" si="9"/>
        <v>5</v>
      </c>
      <c r="S143" s="152">
        <f t="shared" si="10"/>
        <v>5</v>
      </c>
      <c r="T143" s="18">
        <f t="shared" si="7"/>
        <v>5</v>
      </c>
    </row>
    <row r="144" spans="2:20" x14ac:dyDescent="0.25">
      <c r="B144" s="117" t="s">
        <v>834</v>
      </c>
      <c r="C144" s="136" t="s">
        <v>835</v>
      </c>
      <c r="D144" s="45" t="s">
        <v>15</v>
      </c>
      <c r="E144" s="45" t="s">
        <v>16</v>
      </c>
      <c r="F144" s="15"/>
      <c r="G144" s="16"/>
      <c r="H144" s="15"/>
      <c r="I144" s="16"/>
      <c r="J144" s="15"/>
      <c r="K144" s="16"/>
      <c r="L144" s="15"/>
      <c r="M144" s="63"/>
      <c r="N144" s="17"/>
      <c r="O144" s="16"/>
      <c r="P144" s="16"/>
      <c r="Q144" s="152">
        <f t="shared" si="8"/>
        <v>0</v>
      </c>
      <c r="R144" s="152">
        <f t="shared" si="9"/>
        <v>0</v>
      </c>
      <c r="S144" s="152">
        <f t="shared" si="10"/>
        <v>0</v>
      </c>
      <c r="T144" s="18">
        <f t="shared" ref="T144:T206" si="11">G144+I144+K144+M144+O144</f>
        <v>0</v>
      </c>
    </row>
    <row r="145" spans="2:20" x14ac:dyDescent="0.25">
      <c r="B145" s="117" t="s">
        <v>264</v>
      </c>
      <c r="C145" s="136" t="s">
        <v>265</v>
      </c>
      <c r="D145" s="45" t="s">
        <v>15</v>
      </c>
      <c r="E145" s="45" t="s">
        <v>56</v>
      </c>
      <c r="F145" s="15"/>
      <c r="G145" s="16"/>
      <c r="H145" s="15"/>
      <c r="I145" s="16"/>
      <c r="J145" s="15"/>
      <c r="K145" s="16"/>
      <c r="L145" s="15"/>
      <c r="M145" s="63"/>
      <c r="N145" s="17"/>
      <c r="O145" s="16"/>
      <c r="P145" s="16"/>
      <c r="Q145" s="152">
        <f t="shared" si="8"/>
        <v>0</v>
      </c>
      <c r="R145" s="152">
        <f t="shared" si="9"/>
        <v>0</v>
      </c>
      <c r="S145" s="152">
        <f t="shared" si="10"/>
        <v>0</v>
      </c>
      <c r="T145" s="18">
        <f t="shared" si="11"/>
        <v>0</v>
      </c>
    </row>
    <row r="146" spans="2:20" x14ac:dyDescent="0.25">
      <c r="B146" s="117" t="s">
        <v>268</v>
      </c>
      <c r="C146" s="136" t="s">
        <v>269</v>
      </c>
      <c r="D146" s="14" t="s">
        <v>15</v>
      </c>
      <c r="E146" s="14" t="s">
        <v>761</v>
      </c>
      <c r="F146" s="15">
        <v>46072</v>
      </c>
      <c r="G146" s="16">
        <v>40.08</v>
      </c>
      <c r="H146" s="15"/>
      <c r="I146" s="16"/>
      <c r="J146" s="15"/>
      <c r="K146" s="16"/>
      <c r="L146" s="15"/>
      <c r="M146" s="63"/>
      <c r="N146" s="17"/>
      <c r="O146" s="16"/>
      <c r="P146" s="16"/>
      <c r="Q146" s="152">
        <f t="shared" si="8"/>
        <v>40.08</v>
      </c>
      <c r="R146" s="152">
        <f t="shared" si="9"/>
        <v>40.08</v>
      </c>
      <c r="S146" s="152">
        <f t="shared" si="10"/>
        <v>40.08</v>
      </c>
      <c r="T146" s="18">
        <f t="shared" si="11"/>
        <v>40.08</v>
      </c>
    </row>
    <row r="147" spans="2:20" x14ac:dyDescent="0.25">
      <c r="B147" s="117" t="s">
        <v>270</v>
      </c>
      <c r="C147" s="136" t="s">
        <v>271</v>
      </c>
      <c r="D147" s="14" t="s">
        <v>15</v>
      </c>
      <c r="E147" s="14" t="s">
        <v>16</v>
      </c>
      <c r="F147" s="15"/>
      <c r="G147" s="16"/>
      <c r="H147" s="15"/>
      <c r="I147" s="16"/>
      <c r="J147" s="15"/>
      <c r="K147" s="16"/>
      <c r="L147" s="15"/>
      <c r="M147" s="63"/>
      <c r="N147" s="17"/>
      <c r="O147" s="16"/>
      <c r="P147" s="16"/>
      <c r="Q147" s="152">
        <f t="shared" si="8"/>
        <v>0</v>
      </c>
      <c r="R147" s="152">
        <f t="shared" si="9"/>
        <v>0</v>
      </c>
      <c r="S147" s="152">
        <f t="shared" si="10"/>
        <v>0</v>
      </c>
      <c r="T147" s="18">
        <f t="shared" si="11"/>
        <v>0</v>
      </c>
    </row>
    <row r="148" spans="2:20" x14ac:dyDescent="0.25">
      <c r="B148" s="117" t="s">
        <v>871</v>
      </c>
      <c r="C148" s="136" t="s">
        <v>872</v>
      </c>
      <c r="D148" s="14" t="s">
        <v>15</v>
      </c>
      <c r="E148" s="14" t="s">
        <v>16</v>
      </c>
      <c r="F148" s="15">
        <v>46072</v>
      </c>
      <c r="G148" s="16">
        <v>0.35</v>
      </c>
      <c r="H148" s="15"/>
      <c r="I148" s="16"/>
      <c r="J148" s="15"/>
      <c r="K148" s="16"/>
      <c r="L148" s="15"/>
      <c r="M148" s="63"/>
      <c r="N148" s="17"/>
      <c r="O148" s="16"/>
      <c r="P148" s="16"/>
      <c r="Q148" s="152">
        <f t="shared" si="8"/>
        <v>0.35</v>
      </c>
      <c r="R148" s="152">
        <f t="shared" si="9"/>
        <v>0.35</v>
      </c>
      <c r="S148" s="152">
        <f t="shared" si="10"/>
        <v>0.35</v>
      </c>
      <c r="T148" s="18">
        <f t="shared" si="11"/>
        <v>0.35</v>
      </c>
    </row>
    <row r="149" spans="2:20" x14ac:dyDescent="0.25">
      <c r="B149" s="117" t="s">
        <v>273</v>
      </c>
      <c r="C149" s="136" t="s">
        <v>274</v>
      </c>
      <c r="D149" s="14" t="s">
        <v>15</v>
      </c>
      <c r="E149" s="14" t="s">
        <v>16</v>
      </c>
      <c r="F149" s="15"/>
      <c r="G149" s="16"/>
      <c r="H149" s="15"/>
      <c r="I149" s="16"/>
      <c r="J149" s="15"/>
      <c r="K149" s="16"/>
      <c r="L149" s="15"/>
      <c r="M149" s="63"/>
      <c r="N149" s="17"/>
      <c r="O149" s="16"/>
      <c r="P149" s="16"/>
      <c r="Q149" s="152">
        <f t="shared" si="8"/>
        <v>0</v>
      </c>
      <c r="R149" s="152">
        <f t="shared" si="9"/>
        <v>0</v>
      </c>
      <c r="S149" s="152">
        <f t="shared" si="10"/>
        <v>0</v>
      </c>
      <c r="T149" s="18">
        <f t="shared" si="11"/>
        <v>0</v>
      </c>
    </row>
    <row r="150" spans="2:20" x14ac:dyDescent="0.25">
      <c r="B150" s="117" t="s">
        <v>948</v>
      </c>
      <c r="C150" s="136" t="s">
        <v>949</v>
      </c>
      <c r="D150" s="14" t="s">
        <v>941</v>
      </c>
      <c r="E150" s="14" t="s">
        <v>16</v>
      </c>
      <c r="F150" s="15"/>
      <c r="G150" s="16"/>
      <c r="H150" s="15"/>
      <c r="I150" s="16"/>
      <c r="J150" s="15"/>
      <c r="K150" s="16"/>
      <c r="L150" s="15"/>
      <c r="M150" s="63"/>
      <c r="N150" s="17"/>
      <c r="O150" s="16"/>
      <c r="P150" s="16"/>
      <c r="Q150" s="152">
        <f t="shared" si="8"/>
        <v>0</v>
      </c>
      <c r="R150" s="152">
        <f t="shared" si="9"/>
        <v>0</v>
      </c>
      <c r="S150" s="152">
        <f t="shared" si="10"/>
        <v>0</v>
      </c>
      <c r="T150" s="18">
        <f t="shared" si="11"/>
        <v>0</v>
      </c>
    </row>
    <row r="151" spans="2:20" x14ac:dyDescent="0.25">
      <c r="B151" s="117" t="s">
        <v>836</v>
      </c>
      <c r="C151" s="136" t="s">
        <v>837</v>
      </c>
      <c r="D151" s="14" t="s">
        <v>15</v>
      </c>
      <c r="E151" s="14" t="s">
        <v>200</v>
      </c>
      <c r="F151" s="15"/>
      <c r="G151" s="16"/>
      <c r="H151" s="15"/>
      <c r="I151" s="16"/>
      <c r="J151" s="15"/>
      <c r="K151" s="16"/>
      <c r="L151" s="15"/>
      <c r="M151" s="63"/>
      <c r="N151" s="17"/>
      <c r="O151" s="16"/>
      <c r="P151" s="16"/>
      <c r="Q151" s="152">
        <f t="shared" si="8"/>
        <v>0</v>
      </c>
      <c r="R151" s="152">
        <f t="shared" si="9"/>
        <v>0</v>
      </c>
      <c r="S151" s="152">
        <f t="shared" si="10"/>
        <v>0</v>
      </c>
      <c r="T151" s="18">
        <f t="shared" si="11"/>
        <v>0</v>
      </c>
    </row>
    <row r="152" spans="2:20" x14ac:dyDescent="0.25">
      <c r="B152" s="117" t="s">
        <v>751</v>
      </c>
      <c r="C152" s="136" t="s">
        <v>752</v>
      </c>
      <c r="D152" s="14" t="s">
        <v>237</v>
      </c>
      <c r="E152" s="14" t="s">
        <v>16</v>
      </c>
      <c r="F152" s="15"/>
      <c r="G152" s="16"/>
      <c r="H152" s="15"/>
      <c r="I152" s="16"/>
      <c r="J152" s="15"/>
      <c r="K152" s="16"/>
      <c r="L152" s="15"/>
      <c r="M152" s="63"/>
      <c r="N152" s="17"/>
      <c r="O152" s="16"/>
      <c r="P152" s="16"/>
      <c r="Q152" s="152">
        <f t="shared" si="8"/>
        <v>0</v>
      </c>
      <c r="R152" s="152">
        <f t="shared" si="9"/>
        <v>0</v>
      </c>
      <c r="S152" s="152">
        <f t="shared" si="10"/>
        <v>0</v>
      </c>
      <c r="T152" s="18">
        <f t="shared" si="11"/>
        <v>0</v>
      </c>
    </row>
    <row r="153" spans="2:20" x14ac:dyDescent="0.25">
      <c r="B153" s="117" t="s">
        <v>284</v>
      </c>
      <c r="C153" s="136" t="s">
        <v>285</v>
      </c>
      <c r="D153" s="14" t="s">
        <v>15</v>
      </c>
      <c r="E153" s="14" t="s">
        <v>21</v>
      </c>
      <c r="F153" s="15"/>
      <c r="G153" s="16"/>
      <c r="H153" s="15"/>
      <c r="I153" s="16"/>
      <c r="J153" s="15"/>
      <c r="K153" s="16"/>
      <c r="L153" s="15"/>
      <c r="M153" s="63"/>
      <c r="N153" s="17"/>
      <c r="O153" s="16"/>
      <c r="P153" s="16"/>
      <c r="Q153" s="152">
        <f t="shared" si="8"/>
        <v>0</v>
      </c>
      <c r="R153" s="152">
        <f t="shared" si="9"/>
        <v>0</v>
      </c>
      <c r="S153" s="152">
        <f t="shared" si="10"/>
        <v>0</v>
      </c>
      <c r="T153" s="18">
        <f t="shared" si="11"/>
        <v>0</v>
      </c>
    </row>
    <row r="154" spans="2:20" x14ac:dyDescent="0.25">
      <c r="B154" s="12" t="s">
        <v>286</v>
      </c>
      <c r="C154" s="136" t="s">
        <v>287</v>
      </c>
      <c r="D154" s="14" t="s">
        <v>15</v>
      </c>
      <c r="E154" s="14" t="s">
        <v>16</v>
      </c>
      <c r="F154" s="15"/>
      <c r="G154" s="16"/>
      <c r="H154" s="15"/>
      <c r="I154" s="16"/>
      <c r="J154" s="15"/>
      <c r="K154" s="16"/>
      <c r="L154" s="15"/>
      <c r="M154" s="63"/>
      <c r="N154" s="17"/>
      <c r="O154" s="16"/>
      <c r="P154" s="16"/>
      <c r="Q154" s="152">
        <f t="shared" si="8"/>
        <v>0</v>
      </c>
      <c r="R154" s="152">
        <f t="shared" si="9"/>
        <v>0</v>
      </c>
      <c r="S154" s="152">
        <f t="shared" si="10"/>
        <v>0</v>
      </c>
      <c r="T154" s="18">
        <f t="shared" si="11"/>
        <v>0</v>
      </c>
    </row>
    <row r="155" spans="2:20" x14ac:dyDescent="0.25">
      <c r="B155" s="117" t="s">
        <v>288</v>
      </c>
      <c r="C155" s="136" t="s">
        <v>289</v>
      </c>
      <c r="D155" s="14" t="s">
        <v>27</v>
      </c>
      <c r="E155" s="14" t="s">
        <v>16</v>
      </c>
      <c r="F155" s="15"/>
      <c r="G155" s="16"/>
      <c r="H155" s="15"/>
      <c r="I155" s="16"/>
      <c r="J155" s="15"/>
      <c r="K155" s="16"/>
      <c r="L155" s="15"/>
      <c r="M155" s="63"/>
      <c r="N155" s="17"/>
      <c r="O155" s="16"/>
      <c r="P155" s="16"/>
      <c r="Q155" s="152">
        <f t="shared" si="8"/>
        <v>0</v>
      </c>
      <c r="R155" s="152">
        <f t="shared" si="9"/>
        <v>0</v>
      </c>
      <c r="S155" s="152">
        <f t="shared" si="10"/>
        <v>0</v>
      </c>
      <c r="T155" s="18">
        <f t="shared" si="11"/>
        <v>0</v>
      </c>
    </row>
    <row r="156" spans="2:20" x14ac:dyDescent="0.25">
      <c r="B156" s="117" t="s">
        <v>290</v>
      </c>
      <c r="C156" s="136" t="s">
        <v>291</v>
      </c>
      <c r="D156" s="14" t="s">
        <v>24</v>
      </c>
      <c r="E156" s="14" t="s">
        <v>16</v>
      </c>
      <c r="F156" s="15">
        <v>46035</v>
      </c>
      <c r="G156" s="16">
        <v>1.25</v>
      </c>
      <c r="H156" s="15"/>
      <c r="I156" s="16"/>
      <c r="J156" s="15"/>
      <c r="K156" s="16"/>
      <c r="L156" s="15"/>
      <c r="M156" s="63"/>
      <c r="N156" s="17"/>
      <c r="O156" s="16"/>
      <c r="P156" s="16"/>
      <c r="Q156" s="152">
        <f t="shared" si="8"/>
        <v>1.25</v>
      </c>
      <c r="R156" s="152">
        <f t="shared" si="9"/>
        <v>1.25</v>
      </c>
      <c r="S156" s="152">
        <f t="shared" si="10"/>
        <v>1.25</v>
      </c>
      <c r="T156" s="18">
        <f t="shared" si="11"/>
        <v>1.25</v>
      </c>
    </row>
    <row r="157" spans="2:20" x14ac:dyDescent="0.25">
      <c r="B157" s="117" t="s">
        <v>292</v>
      </c>
      <c r="C157" s="136" t="s">
        <v>293</v>
      </c>
      <c r="D157" s="14" t="s">
        <v>15</v>
      </c>
      <c r="E157" s="14" t="s">
        <v>16</v>
      </c>
      <c r="F157" s="15">
        <v>46034</v>
      </c>
      <c r="G157" s="16">
        <v>0.22</v>
      </c>
      <c r="H157" s="15"/>
      <c r="I157" s="16"/>
      <c r="J157" s="15"/>
      <c r="K157" s="16"/>
      <c r="L157" s="15"/>
      <c r="M157" s="63"/>
      <c r="N157" s="17"/>
      <c r="O157" s="16"/>
      <c r="P157" s="16"/>
      <c r="Q157" s="152">
        <f t="shared" si="8"/>
        <v>0.22</v>
      </c>
      <c r="R157" s="152">
        <f t="shared" si="9"/>
        <v>0.22</v>
      </c>
      <c r="S157" s="152">
        <f t="shared" si="10"/>
        <v>0.22</v>
      </c>
      <c r="T157" s="18">
        <f t="shared" si="11"/>
        <v>0.22</v>
      </c>
    </row>
    <row r="158" spans="2:20" x14ac:dyDescent="0.25">
      <c r="B158" s="117" t="s">
        <v>294</v>
      </c>
      <c r="C158" s="136" t="s">
        <v>295</v>
      </c>
      <c r="D158" s="14" t="s">
        <v>15</v>
      </c>
      <c r="E158" s="14" t="s">
        <v>200</v>
      </c>
      <c r="F158" s="15"/>
      <c r="G158" s="16"/>
      <c r="H158" s="15"/>
      <c r="I158" s="16"/>
      <c r="J158" s="15"/>
      <c r="K158" s="16"/>
      <c r="L158" s="15"/>
      <c r="M158" s="63"/>
      <c r="N158" s="17"/>
      <c r="O158" s="16"/>
      <c r="P158" s="16"/>
      <c r="Q158" s="152">
        <f t="shared" si="8"/>
        <v>0</v>
      </c>
      <c r="R158" s="152">
        <f t="shared" si="9"/>
        <v>0</v>
      </c>
      <c r="S158" s="152">
        <f t="shared" si="10"/>
        <v>0</v>
      </c>
      <c r="T158" s="18">
        <f t="shared" si="11"/>
        <v>0</v>
      </c>
    </row>
    <row r="159" spans="2:20" x14ac:dyDescent="0.25">
      <c r="B159" s="117" t="s">
        <v>688</v>
      </c>
      <c r="C159" s="136" t="s">
        <v>689</v>
      </c>
      <c r="D159" s="14" t="s">
        <v>24</v>
      </c>
      <c r="E159" s="14" t="s">
        <v>16</v>
      </c>
      <c r="F159" s="15"/>
      <c r="G159" s="16"/>
      <c r="H159" s="15"/>
      <c r="I159" s="16"/>
      <c r="J159" s="15"/>
      <c r="K159" s="16"/>
      <c r="L159" s="15"/>
      <c r="M159" s="63"/>
      <c r="N159" s="17"/>
      <c r="O159" s="16"/>
      <c r="P159" s="16"/>
      <c r="Q159" s="152">
        <f t="shared" si="8"/>
        <v>0</v>
      </c>
      <c r="R159" s="152">
        <f t="shared" si="9"/>
        <v>0</v>
      </c>
      <c r="S159" s="152">
        <f t="shared" si="10"/>
        <v>0</v>
      </c>
      <c r="T159" s="18">
        <f t="shared" si="11"/>
        <v>0</v>
      </c>
    </row>
    <row r="160" spans="2:20" x14ac:dyDescent="0.25">
      <c r="B160" s="117" t="s">
        <v>861</v>
      </c>
      <c r="C160" s="136" t="s">
        <v>862</v>
      </c>
      <c r="D160" s="14" t="s">
        <v>15</v>
      </c>
      <c r="E160" s="14" t="s">
        <v>16</v>
      </c>
      <c r="F160" s="15"/>
      <c r="G160" s="16"/>
      <c r="H160" s="15"/>
      <c r="I160" s="16"/>
      <c r="J160" s="15"/>
      <c r="K160" s="16"/>
      <c r="L160" s="15"/>
      <c r="M160" s="63"/>
      <c r="N160" s="17"/>
      <c r="O160" s="16"/>
      <c r="P160" s="16"/>
      <c r="Q160" s="152">
        <f t="shared" si="8"/>
        <v>0</v>
      </c>
      <c r="R160" s="152">
        <f t="shared" si="9"/>
        <v>0</v>
      </c>
      <c r="S160" s="152">
        <f t="shared" si="10"/>
        <v>0</v>
      </c>
      <c r="T160" s="18">
        <f t="shared" si="11"/>
        <v>0</v>
      </c>
    </row>
    <row r="161" spans="2:20" x14ac:dyDescent="0.25">
      <c r="B161" s="117" t="s">
        <v>296</v>
      </c>
      <c r="C161" s="136" t="s">
        <v>297</v>
      </c>
      <c r="D161" s="14" t="s">
        <v>15</v>
      </c>
      <c r="E161" s="14" t="s">
        <v>16</v>
      </c>
      <c r="F161" s="15"/>
      <c r="G161" s="16"/>
      <c r="H161" s="15"/>
      <c r="I161" s="16"/>
      <c r="J161" s="15"/>
      <c r="K161" s="16"/>
      <c r="L161" s="15"/>
      <c r="M161" s="63"/>
      <c r="N161" s="17"/>
      <c r="O161" s="16"/>
      <c r="P161" s="47"/>
      <c r="Q161" s="152">
        <f t="shared" si="8"/>
        <v>0</v>
      </c>
      <c r="R161" s="152">
        <f t="shared" si="9"/>
        <v>0</v>
      </c>
      <c r="S161" s="152">
        <f t="shared" si="10"/>
        <v>0</v>
      </c>
      <c r="T161" s="18">
        <f t="shared" si="11"/>
        <v>0</v>
      </c>
    </row>
    <row r="162" spans="2:20" x14ac:dyDescent="0.25">
      <c r="B162" s="117" t="s">
        <v>302</v>
      </c>
      <c r="C162" s="136" t="s">
        <v>303</v>
      </c>
      <c r="D162" s="14" t="s">
        <v>15</v>
      </c>
      <c r="E162" s="14" t="s">
        <v>761</v>
      </c>
      <c r="F162" s="15"/>
      <c r="G162" s="16"/>
      <c r="H162" s="15"/>
      <c r="I162" s="16"/>
      <c r="J162" s="15"/>
      <c r="K162" s="16"/>
      <c r="L162" s="15"/>
      <c r="M162" s="63"/>
      <c r="N162" s="17"/>
      <c r="O162" s="16"/>
      <c r="P162" s="16"/>
      <c r="Q162" s="152">
        <f t="shared" si="8"/>
        <v>0</v>
      </c>
      <c r="R162" s="152">
        <f t="shared" si="9"/>
        <v>0</v>
      </c>
      <c r="S162" s="152">
        <f t="shared" si="10"/>
        <v>0</v>
      </c>
      <c r="T162" s="18">
        <f t="shared" si="11"/>
        <v>0</v>
      </c>
    </row>
    <row r="163" spans="2:20" x14ac:dyDescent="0.25">
      <c r="B163" s="117" t="s">
        <v>304</v>
      </c>
      <c r="C163" s="136" t="s">
        <v>305</v>
      </c>
      <c r="D163" s="14" t="s">
        <v>24</v>
      </c>
      <c r="E163" s="14" t="s">
        <v>16</v>
      </c>
      <c r="F163" s="15"/>
      <c r="G163" s="16"/>
      <c r="H163" s="15"/>
      <c r="I163" s="16"/>
      <c r="J163" s="15"/>
      <c r="K163" s="16"/>
      <c r="L163" s="15"/>
      <c r="M163" s="63"/>
      <c r="N163" s="17"/>
      <c r="O163" s="16"/>
      <c r="P163" s="16"/>
      <c r="Q163" s="152">
        <f t="shared" si="8"/>
        <v>0</v>
      </c>
      <c r="R163" s="152">
        <f t="shared" si="9"/>
        <v>0</v>
      </c>
      <c r="S163" s="152">
        <f t="shared" si="10"/>
        <v>0</v>
      </c>
      <c r="T163" s="18">
        <f t="shared" si="11"/>
        <v>0</v>
      </c>
    </row>
    <row r="164" spans="2:20" x14ac:dyDescent="0.25">
      <c r="B164" s="117" t="s">
        <v>308</v>
      </c>
      <c r="C164" s="136" t="s">
        <v>309</v>
      </c>
      <c r="D164" s="14" t="s">
        <v>15</v>
      </c>
      <c r="E164" s="14" t="s">
        <v>761</v>
      </c>
      <c r="F164" s="15"/>
      <c r="G164" s="16"/>
      <c r="H164" s="15"/>
      <c r="I164" s="16"/>
      <c r="J164" s="15"/>
      <c r="K164" s="16"/>
      <c r="L164" s="15"/>
      <c r="M164" s="63"/>
      <c r="N164" s="17"/>
      <c r="O164" s="16"/>
      <c r="P164" s="16"/>
      <c r="Q164" s="152">
        <f t="shared" si="8"/>
        <v>0</v>
      </c>
      <c r="R164" s="152">
        <f t="shared" si="9"/>
        <v>0</v>
      </c>
      <c r="S164" s="152">
        <f t="shared" si="10"/>
        <v>0</v>
      </c>
      <c r="T164" s="18">
        <f t="shared" si="11"/>
        <v>0</v>
      </c>
    </row>
    <row r="165" spans="2:20" x14ac:dyDescent="0.25">
      <c r="B165" s="117" t="s">
        <v>877</v>
      </c>
      <c r="C165" s="136" t="s">
        <v>875</v>
      </c>
      <c r="D165" s="14" t="s">
        <v>15</v>
      </c>
      <c r="E165" s="14" t="s">
        <v>21</v>
      </c>
      <c r="F165" s="15"/>
      <c r="G165" s="16"/>
      <c r="H165" s="15"/>
      <c r="I165" s="16"/>
      <c r="J165" s="15"/>
      <c r="K165" s="16"/>
      <c r="L165" s="15"/>
      <c r="M165" s="63"/>
      <c r="N165" s="17"/>
      <c r="O165" s="16"/>
      <c r="P165" s="16"/>
      <c r="Q165" s="152">
        <f t="shared" si="8"/>
        <v>0</v>
      </c>
      <c r="R165" s="152">
        <f t="shared" si="9"/>
        <v>0</v>
      </c>
      <c r="S165" s="152">
        <f t="shared" si="10"/>
        <v>0</v>
      </c>
      <c r="T165" s="18">
        <f t="shared" si="11"/>
        <v>0</v>
      </c>
    </row>
    <row r="166" spans="2:20" x14ac:dyDescent="0.25">
      <c r="B166" s="117" t="s">
        <v>876</v>
      </c>
      <c r="C166" s="136" t="s">
        <v>878</v>
      </c>
      <c r="D166" s="14" t="s">
        <v>15</v>
      </c>
      <c r="E166" s="14" t="s">
        <v>21</v>
      </c>
      <c r="F166" s="15"/>
      <c r="G166" s="16"/>
      <c r="H166" s="15"/>
      <c r="I166" s="16"/>
      <c r="J166" s="15"/>
      <c r="K166" s="16"/>
      <c r="L166" s="15"/>
      <c r="M166" s="63"/>
      <c r="N166" s="17"/>
      <c r="O166" s="16"/>
      <c r="P166" s="16"/>
      <c r="Q166" s="152">
        <f t="shared" si="8"/>
        <v>0</v>
      </c>
      <c r="R166" s="152">
        <f t="shared" si="9"/>
        <v>0</v>
      </c>
      <c r="S166" s="152">
        <f t="shared" si="10"/>
        <v>0</v>
      </c>
      <c r="T166" s="18">
        <f t="shared" si="11"/>
        <v>0</v>
      </c>
    </row>
    <row r="167" spans="2:20" x14ac:dyDescent="0.25">
      <c r="B167" s="117" t="s">
        <v>310</v>
      </c>
      <c r="C167" s="136" t="s">
        <v>311</v>
      </c>
      <c r="D167" s="14" t="s">
        <v>24</v>
      </c>
      <c r="E167" s="14" t="s">
        <v>16</v>
      </c>
      <c r="F167" s="15"/>
      <c r="G167" s="16"/>
      <c r="H167" s="15"/>
      <c r="I167" s="16"/>
      <c r="J167" s="15"/>
      <c r="K167" s="16"/>
      <c r="L167" s="15"/>
      <c r="M167" s="63"/>
      <c r="N167" s="17"/>
      <c r="O167" s="16"/>
      <c r="P167" s="16"/>
      <c r="Q167" s="152">
        <f t="shared" si="8"/>
        <v>0</v>
      </c>
      <c r="R167" s="152">
        <f t="shared" si="9"/>
        <v>0</v>
      </c>
      <c r="S167" s="152">
        <f t="shared" si="10"/>
        <v>0</v>
      </c>
      <c r="T167" s="18">
        <f t="shared" si="11"/>
        <v>0</v>
      </c>
    </row>
    <row r="168" spans="2:20" x14ac:dyDescent="0.25">
      <c r="B168" s="117" t="s">
        <v>312</v>
      </c>
      <c r="C168" s="136" t="s">
        <v>313</v>
      </c>
      <c r="D168" s="14" t="s">
        <v>24</v>
      </c>
      <c r="E168" s="14" t="s">
        <v>16</v>
      </c>
      <c r="F168" s="15"/>
      <c r="G168" s="16"/>
      <c r="H168" s="15"/>
      <c r="I168" s="16"/>
      <c r="J168" s="15"/>
      <c r="K168" s="16"/>
      <c r="L168" s="15"/>
      <c r="M168" s="63"/>
      <c r="N168" s="17"/>
      <c r="O168" s="16"/>
      <c r="P168" s="16"/>
      <c r="Q168" s="152">
        <f t="shared" si="8"/>
        <v>0</v>
      </c>
      <c r="R168" s="152">
        <f t="shared" si="9"/>
        <v>0</v>
      </c>
      <c r="S168" s="152">
        <f t="shared" si="10"/>
        <v>0</v>
      </c>
      <c r="T168" s="18">
        <f t="shared" si="11"/>
        <v>0</v>
      </c>
    </row>
    <row r="169" spans="2:20" x14ac:dyDescent="0.25">
      <c r="B169" s="117" t="s">
        <v>314</v>
      </c>
      <c r="C169" s="136" t="s">
        <v>315</v>
      </c>
      <c r="D169" s="14" t="s">
        <v>15</v>
      </c>
      <c r="E169" s="14" t="s">
        <v>16</v>
      </c>
      <c r="F169" s="15"/>
      <c r="G169" s="16"/>
      <c r="H169" s="15"/>
      <c r="I169" s="16"/>
      <c r="J169" s="15"/>
      <c r="K169" s="16"/>
      <c r="L169" s="15"/>
      <c r="M169" s="63"/>
      <c r="N169" s="17"/>
      <c r="O169" s="16"/>
      <c r="P169" s="16"/>
      <c r="Q169" s="152">
        <f t="shared" si="8"/>
        <v>0</v>
      </c>
      <c r="R169" s="152">
        <f t="shared" si="9"/>
        <v>0</v>
      </c>
      <c r="S169" s="152">
        <f t="shared" si="10"/>
        <v>0</v>
      </c>
      <c r="T169" s="18">
        <f t="shared" si="11"/>
        <v>0</v>
      </c>
    </row>
    <row r="170" spans="2:20" x14ac:dyDescent="0.25">
      <c r="B170" s="117" t="s">
        <v>823</v>
      </c>
      <c r="C170" s="136" t="s">
        <v>819</v>
      </c>
      <c r="D170" s="14" t="s">
        <v>15</v>
      </c>
      <c r="E170" s="14" t="s">
        <v>16</v>
      </c>
      <c r="F170" s="15"/>
      <c r="G170" s="16"/>
      <c r="H170" s="15"/>
      <c r="I170" s="16"/>
      <c r="J170" s="15"/>
      <c r="K170" s="16"/>
      <c r="L170" s="15"/>
      <c r="M170" s="63"/>
      <c r="N170" s="17"/>
      <c r="O170" s="16"/>
      <c r="P170" s="16"/>
      <c r="Q170" s="152">
        <f t="shared" si="8"/>
        <v>0</v>
      </c>
      <c r="R170" s="152">
        <f t="shared" si="9"/>
        <v>0</v>
      </c>
      <c r="S170" s="152">
        <f t="shared" si="10"/>
        <v>0</v>
      </c>
      <c r="T170" s="18">
        <f t="shared" si="11"/>
        <v>0</v>
      </c>
    </row>
    <row r="171" spans="2:20" x14ac:dyDescent="0.25">
      <c r="B171" s="117" t="s">
        <v>322</v>
      </c>
      <c r="C171" s="136" t="s">
        <v>323</v>
      </c>
      <c r="D171" s="14" t="s">
        <v>15</v>
      </c>
      <c r="E171" s="14" t="s">
        <v>16</v>
      </c>
      <c r="F171" s="15"/>
      <c r="G171" s="16"/>
      <c r="H171" s="15"/>
      <c r="I171" s="16"/>
      <c r="J171" s="15"/>
      <c r="K171" s="16"/>
      <c r="L171" s="15"/>
      <c r="M171" s="63"/>
      <c r="N171" s="17"/>
      <c r="O171" s="16"/>
      <c r="P171" s="16"/>
      <c r="Q171" s="152">
        <f t="shared" si="8"/>
        <v>0</v>
      </c>
      <c r="R171" s="152">
        <f t="shared" si="9"/>
        <v>0</v>
      </c>
      <c r="S171" s="152">
        <f t="shared" si="10"/>
        <v>0</v>
      </c>
      <c r="T171" s="18">
        <f t="shared" si="11"/>
        <v>0</v>
      </c>
    </row>
    <row r="172" spans="2:20" x14ac:dyDescent="0.25">
      <c r="B172" s="117" t="s">
        <v>934</v>
      </c>
      <c r="C172" s="136" t="s">
        <v>917</v>
      </c>
      <c r="D172" s="39" t="s">
        <v>755</v>
      </c>
      <c r="E172" s="39" t="s">
        <v>16</v>
      </c>
      <c r="F172" s="15"/>
      <c r="G172" s="16"/>
      <c r="H172" s="15"/>
      <c r="I172" s="16"/>
      <c r="J172" s="15"/>
      <c r="K172" s="16"/>
      <c r="L172" s="15"/>
      <c r="M172" s="63"/>
      <c r="N172" s="17"/>
      <c r="O172" s="16"/>
      <c r="P172" s="16"/>
      <c r="Q172" s="152">
        <f t="shared" si="8"/>
        <v>0</v>
      </c>
      <c r="R172" s="152">
        <f t="shared" si="9"/>
        <v>0</v>
      </c>
      <c r="S172" s="152">
        <f t="shared" si="10"/>
        <v>0</v>
      </c>
      <c r="T172" s="18">
        <f t="shared" si="11"/>
        <v>0</v>
      </c>
    </row>
    <row r="173" spans="2:20" x14ac:dyDescent="0.25">
      <c r="B173" s="117" t="s">
        <v>329</v>
      </c>
      <c r="C173" s="136" t="s">
        <v>330</v>
      </c>
      <c r="D173" s="14" t="s">
        <v>24</v>
      </c>
      <c r="E173" s="14" t="s">
        <v>16</v>
      </c>
      <c r="F173" s="15"/>
      <c r="G173" s="16"/>
      <c r="H173" s="15"/>
      <c r="I173" s="16"/>
      <c r="J173" s="15"/>
      <c r="K173" s="16"/>
      <c r="L173" s="15"/>
      <c r="M173" s="63"/>
      <c r="N173" s="17"/>
      <c r="O173" s="16"/>
      <c r="P173" s="16"/>
      <c r="Q173" s="152">
        <f t="shared" si="8"/>
        <v>0</v>
      </c>
      <c r="R173" s="152">
        <f t="shared" si="9"/>
        <v>0</v>
      </c>
      <c r="S173" s="152">
        <f t="shared" si="10"/>
        <v>0</v>
      </c>
      <c r="T173" s="18">
        <f t="shared" si="11"/>
        <v>0</v>
      </c>
    </row>
    <row r="174" spans="2:20" x14ac:dyDescent="0.25">
      <c r="B174" s="117" t="s">
        <v>779</v>
      </c>
      <c r="C174" s="136" t="s">
        <v>780</v>
      </c>
      <c r="D174" s="14" t="s">
        <v>755</v>
      </c>
      <c r="E174" s="14" t="s">
        <v>475</v>
      </c>
      <c r="F174" s="15">
        <v>46072</v>
      </c>
      <c r="G174" s="16">
        <v>1.5</v>
      </c>
      <c r="H174" s="15"/>
      <c r="I174" s="16"/>
      <c r="J174" s="15"/>
      <c r="K174" s="16"/>
      <c r="L174" s="15"/>
      <c r="M174" s="63"/>
      <c r="N174" s="17"/>
      <c r="O174" s="16"/>
      <c r="P174" s="16"/>
      <c r="Q174" s="152">
        <f t="shared" si="8"/>
        <v>1.5</v>
      </c>
      <c r="R174" s="152">
        <f t="shared" si="9"/>
        <v>1.5</v>
      </c>
      <c r="S174" s="152">
        <f t="shared" si="10"/>
        <v>1.5</v>
      </c>
      <c r="T174" s="18">
        <f t="shared" si="11"/>
        <v>1.5</v>
      </c>
    </row>
    <row r="175" spans="2:20" x14ac:dyDescent="0.25">
      <c r="B175" s="117" t="s">
        <v>885</v>
      </c>
      <c r="C175" s="136" t="s">
        <v>334</v>
      </c>
      <c r="D175" s="14" t="s">
        <v>15</v>
      </c>
      <c r="E175" s="14" t="s">
        <v>16</v>
      </c>
      <c r="F175" s="15"/>
      <c r="G175" s="16"/>
      <c r="H175" s="15"/>
      <c r="I175" s="16"/>
      <c r="J175" s="15"/>
      <c r="K175" s="16"/>
      <c r="L175" s="15"/>
      <c r="M175" s="63"/>
      <c r="N175" s="17"/>
      <c r="O175" s="16"/>
      <c r="P175" s="16"/>
      <c r="Q175" s="152">
        <f t="shared" si="8"/>
        <v>0</v>
      </c>
      <c r="R175" s="152">
        <f t="shared" si="9"/>
        <v>0</v>
      </c>
      <c r="S175" s="152">
        <f t="shared" si="10"/>
        <v>0</v>
      </c>
      <c r="T175" s="18">
        <f t="shared" si="11"/>
        <v>0</v>
      </c>
    </row>
    <row r="176" spans="2:20" x14ac:dyDescent="0.25">
      <c r="B176" s="117" t="s">
        <v>335</v>
      </c>
      <c r="C176" s="136" t="s">
        <v>336</v>
      </c>
      <c r="D176" s="14" t="s">
        <v>15</v>
      </c>
      <c r="E176" s="14" t="s">
        <v>761</v>
      </c>
      <c r="F176" s="15"/>
      <c r="G176" s="16"/>
      <c r="H176" s="15"/>
      <c r="I176" s="16"/>
      <c r="J176" s="15"/>
      <c r="K176" s="16"/>
      <c r="L176" s="15"/>
      <c r="M176" s="63"/>
      <c r="N176" s="17"/>
      <c r="O176" s="16"/>
      <c r="P176" s="16"/>
      <c r="Q176" s="152">
        <f t="shared" si="8"/>
        <v>0</v>
      </c>
      <c r="R176" s="152">
        <f t="shared" si="9"/>
        <v>0</v>
      </c>
      <c r="S176" s="152">
        <f t="shared" si="10"/>
        <v>0</v>
      </c>
      <c r="T176" s="18">
        <f t="shared" si="11"/>
        <v>0</v>
      </c>
    </row>
    <row r="177" spans="2:20" x14ac:dyDescent="0.25">
      <c r="B177" s="117" t="s">
        <v>623</v>
      </c>
      <c r="C177" s="136" t="s">
        <v>239</v>
      </c>
      <c r="D177" s="14" t="s">
        <v>15</v>
      </c>
      <c r="E177" s="14" t="s">
        <v>16</v>
      </c>
      <c r="F177" s="15"/>
      <c r="G177" s="16"/>
      <c r="H177" s="15"/>
      <c r="I177" s="16"/>
      <c r="J177" s="15"/>
      <c r="K177" s="16"/>
      <c r="L177" s="15"/>
      <c r="M177" s="63"/>
      <c r="N177" s="17"/>
      <c r="O177" s="16"/>
      <c r="P177" s="16"/>
      <c r="Q177" s="152">
        <f t="shared" si="8"/>
        <v>0</v>
      </c>
      <c r="R177" s="152">
        <f t="shared" si="9"/>
        <v>0</v>
      </c>
      <c r="S177" s="152">
        <f t="shared" si="10"/>
        <v>0</v>
      </c>
      <c r="T177" s="18">
        <f t="shared" si="11"/>
        <v>0</v>
      </c>
    </row>
    <row r="178" spans="2:20" x14ac:dyDescent="0.25">
      <c r="B178" s="117" t="s">
        <v>339</v>
      </c>
      <c r="C178" s="136" t="s">
        <v>340</v>
      </c>
      <c r="D178" s="14" t="s">
        <v>15</v>
      </c>
      <c r="E178" s="14" t="s">
        <v>16</v>
      </c>
      <c r="F178" s="15"/>
      <c r="G178" s="16"/>
      <c r="H178" s="15"/>
      <c r="I178" s="16"/>
      <c r="J178" s="15"/>
      <c r="K178" s="16"/>
      <c r="L178" s="15"/>
      <c r="M178" s="63"/>
      <c r="N178" s="17"/>
      <c r="O178" s="16"/>
      <c r="P178" s="41"/>
      <c r="Q178" s="152">
        <f t="shared" si="8"/>
        <v>0</v>
      </c>
      <c r="R178" s="152">
        <f t="shared" si="9"/>
        <v>0</v>
      </c>
      <c r="S178" s="152">
        <f t="shared" si="10"/>
        <v>0</v>
      </c>
      <c r="T178" s="18">
        <f t="shared" si="11"/>
        <v>0</v>
      </c>
    </row>
    <row r="179" spans="2:20" x14ac:dyDescent="0.25">
      <c r="B179" s="117" t="s">
        <v>341</v>
      </c>
      <c r="C179" s="136" t="s">
        <v>342</v>
      </c>
      <c r="D179" s="14" t="s">
        <v>15</v>
      </c>
      <c r="E179" s="14" t="s">
        <v>21</v>
      </c>
      <c r="F179" s="15"/>
      <c r="G179" s="16"/>
      <c r="H179" s="15"/>
      <c r="I179" s="16"/>
      <c r="J179" s="15"/>
      <c r="K179" s="16"/>
      <c r="L179" s="15"/>
      <c r="M179" s="63"/>
      <c r="N179" s="17"/>
      <c r="O179" s="16"/>
      <c r="P179" s="16"/>
      <c r="Q179" s="152">
        <f t="shared" si="8"/>
        <v>0</v>
      </c>
      <c r="R179" s="152">
        <f t="shared" si="9"/>
        <v>0</v>
      </c>
      <c r="S179" s="152">
        <f t="shared" si="10"/>
        <v>0</v>
      </c>
      <c r="T179" s="18">
        <f t="shared" si="11"/>
        <v>0</v>
      </c>
    </row>
    <row r="180" spans="2:20" x14ac:dyDescent="0.25">
      <c r="B180" s="117" t="s">
        <v>773</v>
      </c>
      <c r="C180" s="136" t="s">
        <v>774</v>
      </c>
      <c r="D180" s="45" t="s">
        <v>24</v>
      </c>
      <c r="E180" s="45" t="s">
        <v>16</v>
      </c>
      <c r="F180" s="15"/>
      <c r="G180" s="16"/>
      <c r="H180" s="15"/>
      <c r="I180" s="16"/>
      <c r="J180" s="15"/>
      <c r="K180" s="16"/>
      <c r="L180" s="15"/>
      <c r="M180" s="63"/>
      <c r="N180" s="17"/>
      <c r="O180" s="16"/>
      <c r="P180" s="16"/>
      <c r="Q180" s="152">
        <f t="shared" si="8"/>
        <v>0</v>
      </c>
      <c r="R180" s="152">
        <f t="shared" si="9"/>
        <v>0</v>
      </c>
      <c r="S180" s="152">
        <f t="shared" si="10"/>
        <v>0</v>
      </c>
      <c r="T180" s="18">
        <f t="shared" si="11"/>
        <v>0</v>
      </c>
    </row>
    <row r="181" spans="2:20" x14ac:dyDescent="0.25">
      <c r="B181" s="117" t="s">
        <v>343</v>
      </c>
      <c r="C181" s="136" t="s">
        <v>344</v>
      </c>
      <c r="D181" s="14" t="s">
        <v>15</v>
      </c>
      <c r="E181" s="14" t="s">
        <v>16</v>
      </c>
      <c r="F181" s="15"/>
      <c r="G181" s="16"/>
      <c r="H181" s="15"/>
      <c r="I181" s="16"/>
      <c r="J181" s="15"/>
      <c r="K181" s="16"/>
      <c r="L181" s="15"/>
      <c r="M181" s="63"/>
      <c r="N181" s="17"/>
      <c r="O181" s="16"/>
      <c r="P181" s="16"/>
      <c r="Q181" s="152">
        <f t="shared" si="8"/>
        <v>0</v>
      </c>
      <c r="R181" s="152">
        <f t="shared" si="9"/>
        <v>0</v>
      </c>
      <c r="S181" s="152">
        <f t="shared" si="10"/>
        <v>0</v>
      </c>
      <c r="T181" s="18">
        <f t="shared" si="11"/>
        <v>0</v>
      </c>
    </row>
    <row r="182" spans="2:20" x14ac:dyDescent="0.25">
      <c r="B182" s="117" t="s">
        <v>345</v>
      </c>
      <c r="C182" s="136" t="s">
        <v>346</v>
      </c>
      <c r="D182" s="14" t="s">
        <v>15</v>
      </c>
      <c r="E182" s="14" t="s">
        <v>16</v>
      </c>
      <c r="F182" s="15">
        <v>46055</v>
      </c>
      <c r="G182" s="16">
        <v>0.03</v>
      </c>
      <c r="H182" s="15"/>
      <c r="I182" s="16"/>
      <c r="J182" s="15"/>
      <c r="K182" s="16"/>
      <c r="L182" s="15"/>
      <c r="M182" s="63"/>
      <c r="N182" s="17"/>
      <c r="O182" s="16"/>
      <c r="P182" s="47"/>
      <c r="Q182" s="152">
        <f t="shared" si="8"/>
        <v>0.03</v>
      </c>
      <c r="R182" s="152">
        <f t="shared" si="9"/>
        <v>0.03</v>
      </c>
      <c r="S182" s="152">
        <f t="shared" si="10"/>
        <v>0.03</v>
      </c>
      <c r="T182" s="18">
        <f t="shared" si="11"/>
        <v>0.03</v>
      </c>
    </row>
    <row r="183" spans="2:20" x14ac:dyDescent="0.25">
      <c r="B183" s="117" t="s">
        <v>756</v>
      </c>
      <c r="C183" s="136" t="s">
        <v>757</v>
      </c>
      <c r="D183" s="14" t="s">
        <v>15</v>
      </c>
      <c r="E183" s="14" t="s">
        <v>16</v>
      </c>
      <c r="F183" s="15"/>
      <c r="G183" s="16"/>
      <c r="H183" s="15"/>
      <c r="I183" s="16"/>
      <c r="J183" s="15"/>
      <c r="K183" s="16"/>
      <c r="L183" s="15"/>
      <c r="M183" s="63"/>
      <c r="N183" s="17"/>
      <c r="O183" s="16"/>
      <c r="P183" s="47"/>
      <c r="Q183" s="152">
        <f t="shared" si="8"/>
        <v>0</v>
      </c>
      <c r="R183" s="152">
        <f t="shared" si="9"/>
        <v>0</v>
      </c>
      <c r="S183" s="152">
        <f t="shared" si="10"/>
        <v>0</v>
      </c>
      <c r="T183" s="18">
        <f t="shared" si="11"/>
        <v>0</v>
      </c>
    </row>
    <row r="184" spans="2:20" x14ac:dyDescent="0.25">
      <c r="B184" s="117" t="s">
        <v>347</v>
      </c>
      <c r="C184" s="136" t="s">
        <v>348</v>
      </c>
      <c r="D184" s="14" t="s">
        <v>15</v>
      </c>
      <c r="E184" s="14" t="s">
        <v>16</v>
      </c>
      <c r="F184" s="15"/>
      <c r="G184" s="16"/>
      <c r="H184" s="15"/>
      <c r="I184" s="16"/>
      <c r="J184" s="15"/>
      <c r="K184" s="16"/>
      <c r="L184" s="15"/>
      <c r="M184" s="63"/>
      <c r="N184" s="17"/>
      <c r="O184" s="16"/>
      <c r="P184" s="47"/>
      <c r="Q184" s="152">
        <f t="shared" si="8"/>
        <v>0</v>
      </c>
      <c r="R184" s="152">
        <f t="shared" si="9"/>
        <v>0</v>
      </c>
      <c r="S184" s="152">
        <f t="shared" si="10"/>
        <v>0</v>
      </c>
      <c r="T184" s="18">
        <f t="shared" si="11"/>
        <v>0</v>
      </c>
    </row>
    <row r="185" spans="2:20" x14ac:dyDescent="0.25">
      <c r="B185" s="117" t="s">
        <v>753</v>
      </c>
      <c r="C185" s="136" t="s">
        <v>754</v>
      </c>
      <c r="D185" s="14" t="s">
        <v>755</v>
      </c>
      <c r="E185" s="14" t="s">
        <v>475</v>
      </c>
      <c r="F185" s="15"/>
      <c r="G185" s="16"/>
      <c r="H185" s="15"/>
      <c r="I185" s="16"/>
      <c r="J185" s="15"/>
      <c r="K185" s="16"/>
      <c r="L185" s="15"/>
      <c r="M185" s="63"/>
      <c r="N185" s="17"/>
      <c r="O185" s="16"/>
      <c r="P185" s="47"/>
      <c r="Q185" s="152">
        <f t="shared" si="8"/>
        <v>0</v>
      </c>
      <c r="R185" s="152">
        <f t="shared" si="9"/>
        <v>0</v>
      </c>
      <c r="S185" s="152">
        <f t="shared" si="10"/>
        <v>0</v>
      </c>
      <c r="T185" s="18">
        <f t="shared" si="11"/>
        <v>0</v>
      </c>
    </row>
    <row r="186" spans="2:20" x14ac:dyDescent="0.25">
      <c r="B186" s="117" t="s">
        <v>696</v>
      </c>
      <c r="C186" s="136" t="s">
        <v>350</v>
      </c>
      <c r="D186" s="14" t="s">
        <v>15</v>
      </c>
      <c r="E186" s="14" t="s">
        <v>21</v>
      </c>
      <c r="F186" s="15"/>
      <c r="G186" s="16"/>
      <c r="H186" s="15"/>
      <c r="I186" s="16"/>
      <c r="J186" s="15"/>
      <c r="K186" s="16"/>
      <c r="L186" s="15"/>
      <c r="M186" s="63"/>
      <c r="N186" s="17"/>
      <c r="O186" s="16"/>
      <c r="P186" s="16"/>
      <c r="Q186" s="152">
        <f t="shared" si="8"/>
        <v>0</v>
      </c>
      <c r="R186" s="152">
        <f t="shared" si="9"/>
        <v>0</v>
      </c>
      <c r="S186" s="152">
        <f t="shared" si="10"/>
        <v>0</v>
      </c>
      <c r="T186" s="18">
        <f t="shared" si="11"/>
        <v>0</v>
      </c>
    </row>
    <row r="187" spans="2:20" x14ac:dyDescent="0.25">
      <c r="B187" s="117" t="s">
        <v>353</v>
      </c>
      <c r="C187" s="136" t="s">
        <v>354</v>
      </c>
      <c r="D187" s="14" t="s">
        <v>24</v>
      </c>
      <c r="E187" s="14" t="s">
        <v>16</v>
      </c>
      <c r="F187" s="15"/>
      <c r="G187" s="16"/>
      <c r="H187" s="15"/>
      <c r="I187" s="16"/>
      <c r="J187" s="15"/>
      <c r="K187" s="16"/>
      <c r="L187" s="15"/>
      <c r="M187" s="63"/>
      <c r="N187" s="17"/>
      <c r="O187" s="16"/>
      <c r="P187" s="16"/>
      <c r="Q187" s="152">
        <f t="shared" si="8"/>
        <v>0</v>
      </c>
      <c r="R187" s="152">
        <f t="shared" si="9"/>
        <v>0</v>
      </c>
      <c r="S187" s="152">
        <f t="shared" si="10"/>
        <v>0</v>
      </c>
      <c r="T187" s="18">
        <f t="shared" si="11"/>
        <v>0</v>
      </c>
    </row>
    <row r="188" spans="2:20" x14ac:dyDescent="0.25">
      <c r="B188" s="117" t="s">
        <v>918</v>
      </c>
      <c r="C188" s="136" t="s">
        <v>352</v>
      </c>
      <c r="D188" s="14" t="s">
        <v>755</v>
      </c>
      <c r="E188" s="14" t="s">
        <v>475</v>
      </c>
      <c r="F188" s="15"/>
      <c r="G188" s="16"/>
      <c r="H188" s="15"/>
      <c r="I188" s="16"/>
      <c r="J188" s="15"/>
      <c r="K188" s="16"/>
      <c r="L188" s="15"/>
      <c r="M188" s="63"/>
      <c r="N188" s="17"/>
      <c r="O188" s="16"/>
      <c r="P188" s="16"/>
      <c r="Q188" s="152">
        <f t="shared" si="8"/>
        <v>0</v>
      </c>
      <c r="R188" s="152">
        <f t="shared" si="9"/>
        <v>0</v>
      </c>
      <c r="S188" s="152">
        <f t="shared" si="10"/>
        <v>0</v>
      </c>
      <c r="T188" s="18">
        <f t="shared" si="11"/>
        <v>0</v>
      </c>
    </row>
    <row r="189" spans="2:20" x14ac:dyDescent="0.25">
      <c r="B189" s="117" t="s">
        <v>881</v>
      </c>
      <c r="C189" s="136" t="s">
        <v>882</v>
      </c>
      <c r="D189" s="14" t="s">
        <v>15</v>
      </c>
      <c r="E189" s="14" t="s">
        <v>21</v>
      </c>
      <c r="F189" s="15"/>
      <c r="G189" s="16"/>
      <c r="H189" s="15"/>
      <c r="I189" s="16"/>
      <c r="J189" s="15"/>
      <c r="K189" s="16"/>
      <c r="L189" s="15"/>
      <c r="M189" s="63"/>
      <c r="N189" s="17"/>
      <c r="O189" s="16"/>
      <c r="P189" s="16"/>
      <c r="Q189" s="152">
        <f t="shared" si="8"/>
        <v>0</v>
      </c>
      <c r="R189" s="152">
        <f t="shared" si="9"/>
        <v>0</v>
      </c>
      <c r="S189" s="152">
        <f t="shared" si="10"/>
        <v>0</v>
      </c>
      <c r="T189" s="18">
        <f t="shared" si="11"/>
        <v>0</v>
      </c>
    </row>
    <row r="190" spans="2:20" x14ac:dyDescent="0.25">
      <c r="B190" s="117" t="s">
        <v>357</v>
      </c>
      <c r="C190" s="136" t="s">
        <v>358</v>
      </c>
      <c r="D190" s="14" t="s">
        <v>15</v>
      </c>
      <c r="E190" s="14" t="s">
        <v>761</v>
      </c>
      <c r="F190" s="15"/>
      <c r="G190" s="16"/>
      <c r="H190" s="15"/>
      <c r="I190" s="16"/>
      <c r="J190" s="15"/>
      <c r="K190" s="16"/>
      <c r="L190" s="15"/>
      <c r="M190" s="63"/>
      <c r="N190" s="17"/>
      <c r="O190" s="16"/>
      <c r="P190" s="16"/>
      <c r="Q190" s="152">
        <f t="shared" si="8"/>
        <v>0</v>
      </c>
      <c r="R190" s="152">
        <f t="shared" si="9"/>
        <v>0</v>
      </c>
      <c r="S190" s="152">
        <f t="shared" si="10"/>
        <v>0</v>
      </c>
      <c r="T190" s="18">
        <f t="shared" si="11"/>
        <v>0</v>
      </c>
    </row>
    <row r="191" spans="2:20" x14ac:dyDescent="0.25">
      <c r="B191" s="117" t="s">
        <v>359</v>
      </c>
      <c r="C191" s="136" t="s">
        <v>360</v>
      </c>
      <c r="D191" s="14" t="s">
        <v>24</v>
      </c>
      <c r="E191" s="14" t="s">
        <v>16</v>
      </c>
      <c r="F191" s="15"/>
      <c r="G191" s="16"/>
      <c r="H191" s="15"/>
      <c r="I191" s="16"/>
      <c r="J191" s="15"/>
      <c r="K191" s="16"/>
      <c r="L191" s="15"/>
      <c r="M191" s="63"/>
      <c r="N191" s="17"/>
      <c r="O191" s="16"/>
      <c r="P191" s="16"/>
      <c r="Q191" s="152">
        <f t="shared" si="8"/>
        <v>0</v>
      </c>
      <c r="R191" s="152">
        <f t="shared" si="9"/>
        <v>0</v>
      </c>
      <c r="S191" s="152">
        <f t="shared" si="10"/>
        <v>0</v>
      </c>
      <c r="T191" s="18">
        <f t="shared" si="11"/>
        <v>0</v>
      </c>
    </row>
    <row r="192" spans="2:20" x14ac:dyDescent="0.25">
      <c r="B192" s="117" t="s">
        <v>366</v>
      </c>
      <c r="C192" s="136" t="s">
        <v>367</v>
      </c>
      <c r="D192" s="14" t="s">
        <v>15</v>
      </c>
      <c r="E192" s="14" t="s">
        <v>16</v>
      </c>
      <c r="F192" s="15"/>
      <c r="G192" s="16"/>
      <c r="H192" s="15"/>
      <c r="I192" s="16"/>
      <c r="J192" s="15"/>
      <c r="K192" s="16"/>
      <c r="L192" s="15"/>
      <c r="M192" s="63"/>
      <c r="N192" s="17"/>
      <c r="O192" s="16"/>
      <c r="P192" s="16"/>
      <c r="Q192" s="152">
        <f t="shared" si="8"/>
        <v>0</v>
      </c>
      <c r="R192" s="152">
        <f t="shared" si="9"/>
        <v>0</v>
      </c>
      <c r="S192" s="152">
        <f t="shared" si="10"/>
        <v>0</v>
      </c>
      <c r="T192" s="18">
        <f t="shared" si="11"/>
        <v>0</v>
      </c>
    </row>
    <row r="193" spans="2:20" x14ac:dyDescent="0.25">
      <c r="B193" s="117" t="s">
        <v>951</v>
      </c>
      <c r="C193" s="136" t="s">
        <v>952</v>
      </c>
      <c r="D193" s="14" t="s">
        <v>941</v>
      </c>
      <c r="E193" s="14" t="s">
        <v>16</v>
      </c>
      <c r="F193" s="15"/>
      <c r="G193" s="16"/>
      <c r="H193" s="15"/>
      <c r="I193" s="16"/>
      <c r="J193" s="15"/>
      <c r="K193" s="16"/>
      <c r="L193" s="15"/>
      <c r="M193" s="63"/>
      <c r="N193" s="17"/>
      <c r="O193" s="16"/>
      <c r="P193" s="16"/>
      <c r="Q193" s="152">
        <f t="shared" si="8"/>
        <v>0</v>
      </c>
      <c r="R193" s="152">
        <f t="shared" si="9"/>
        <v>0</v>
      </c>
      <c r="S193" s="152">
        <f t="shared" si="10"/>
        <v>0</v>
      </c>
      <c r="T193" s="18">
        <f t="shared" si="11"/>
        <v>0</v>
      </c>
    </row>
    <row r="194" spans="2:20" x14ac:dyDescent="0.25">
      <c r="B194" s="117" t="s">
        <v>890</v>
      </c>
      <c r="C194" s="136" t="s">
        <v>891</v>
      </c>
      <c r="D194" s="14" t="s">
        <v>15</v>
      </c>
      <c r="E194" s="14" t="s">
        <v>16</v>
      </c>
      <c r="F194" s="15"/>
      <c r="G194" s="16"/>
      <c r="H194" s="15"/>
      <c r="I194" s="16"/>
      <c r="J194" s="15"/>
      <c r="K194" s="16"/>
      <c r="L194" s="15"/>
      <c r="M194" s="63"/>
      <c r="N194" s="17"/>
      <c r="O194" s="16"/>
      <c r="P194" s="16"/>
      <c r="Q194" s="152">
        <f t="shared" si="8"/>
        <v>0</v>
      </c>
      <c r="R194" s="152">
        <f t="shared" si="9"/>
        <v>0</v>
      </c>
      <c r="S194" s="152">
        <f t="shared" si="10"/>
        <v>0</v>
      </c>
      <c r="T194" s="18">
        <f t="shared" si="11"/>
        <v>0</v>
      </c>
    </row>
    <row r="195" spans="2:20" x14ac:dyDescent="0.25">
      <c r="B195" s="117" t="s">
        <v>758</v>
      </c>
      <c r="C195" s="136" t="s">
        <v>759</v>
      </c>
      <c r="D195" s="14" t="s">
        <v>15</v>
      </c>
      <c r="E195" s="14" t="s">
        <v>16</v>
      </c>
      <c r="F195" s="15"/>
      <c r="G195" s="16"/>
      <c r="H195" s="15"/>
      <c r="I195" s="16"/>
      <c r="J195" s="15"/>
      <c r="K195" s="16"/>
      <c r="L195" s="15"/>
      <c r="M195" s="63"/>
      <c r="N195" s="17"/>
      <c r="O195" s="16"/>
      <c r="P195" s="16"/>
      <c r="Q195" s="152">
        <f t="shared" si="8"/>
        <v>0</v>
      </c>
      <c r="R195" s="152">
        <f t="shared" si="9"/>
        <v>0</v>
      </c>
      <c r="S195" s="152">
        <f t="shared" si="10"/>
        <v>0</v>
      </c>
      <c r="T195" s="18">
        <f t="shared" si="11"/>
        <v>0</v>
      </c>
    </row>
    <row r="196" spans="2:20" x14ac:dyDescent="0.25">
      <c r="B196" s="117" t="s">
        <v>368</v>
      </c>
      <c r="C196" s="136" t="s">
        <v>369</v>
      </c>
      <c r="D196" s="14" t="s">
        <v>27</v>
      </c>
      <c r="E196" s="14" t="s">
        <v>16</v>
      </c>
      <c r="F196" s="15"/>
      <c r="G196" s="16"/>
      <c r="H196" s="15"/>
      <c r="I196" s="16"/>
      <c r="J196" s="15"/>
      <c r="K196" s="16"/>
      <c r="L196" s="15"/>
      <c r="M196" s="63"/>
      <c r="N196" s="17"/>
      <c r="O196" s="16"/>
      <c r="P196" s="16"/>
      <c r="Q196" s="152">
        <f t="shared" si="8"/>
        <v>0</v>
      </c>
      <c r="R196" s="152">
        <f t="shared" si="9"/>
        <v>0</v>
      </c>
      <c r="S196" s="152">
        <f t="shared" si="10"/>
        <v>0</v>
      </c>
      <c r="T196" s="18">
        <f t="shared" si="11"/>
        <v>0</v>
      </c>
    </row>
    <row r="197" spans="2:20" x14ac:dyDescent="0.25">
      <c r="B197" s="117" t="s">
        <v>370</v>
      </c>
      <c r="C197" s="136" t="s">
        <v>721</v>
      </c>
      <c r="D197" s="14" t="s">
        <v>15</v>
      </c>
      <c r="E197" s="14" t="s">
        <v>56</v>
      </c>
      <c r="F197" s="15"/>
      <c r="G197" s="16"/>
      <c r="H197" s="15"/>
      <c r="I197" s="16"/>
      <c r="J197" s="15"/>
      <c r="K197" s="16"/>
      <c r="L197" s="15"/>
      <c r="M197" s="63"/>
      <c r="N197" s="17"/>
      <c r="O197" s="16"/>
      <c r="P197" s="16"/>
      <c r="Q197" s="152">
        <f t="shared" si="8"/>
        <v>0</v>
      </c>
      <c r="R197" s="152">
        <f t="shared" si="9"/>
        <v>0</v>
      </c>
      <c r="S197" s="152">
        <f t="shared" si="10"/>
        <v>0</v>
      </c>
      <c r="T197" s="18">
        <f t="shared" si="11"/>
        <v>0</v>
      </c>
    </row>
    <row r="198" spans="2:20" x14ac:dyDescent="0.25">
      <c r="B198" s="117" t="s">
        <v>372</v>
      </c>
      <c r="C198" s="136" t="s">
        <v>373</v>
      </c>
      <c r="D198" s="14" t="s">
        <v>24</v>
      </c>
      <c r="E198" s="14" t="s">
        <v>16</v>
      </c>
      <c r="F198" s="15"/>
      <c r="G198" s="16"/>
      <c r="H198" s="15"/>
      <c r="I198" s="16"/>
      <c r="J198" s="15"/>
      <c r="K198" s="16"/>
      <c r="L198" s="15"/>
      <c r="M198" s="63"/>
      <c r="N198" s="17"/>
      <c r="O198" s="16"/>
      <c r="P198" s="16"/>
      <c r="Q198" s="152">
        <f t="shared" si="8"/>
        <v>0</v>
      </c>
      <c r="R198" s="152">
        <f t="shared" si="9"/>
        <v>0</v>
      </c>
      <c r="S198" s="152">
        <f t="shared" si="10"/>
        <v>0</v>
      </c>
      <c r="T198" s="18">
        <f t="shared" si="11"/>
        <v>0</v>
      </c>
    </row>
    <row r="199" spans="2:20" x14ac:dyDescent="0.25">
      <c r="B199" s="117" t="s">
        <v>681</v>
      </c>
      <c r="C199" s="136" t="s">
        <v>682</v>
      </c>
      <c r="D199" s="14" t="s">
        <v>15</v>
      </c>
      <c r="E199" s="14" t="s">
        <v>16</v>
      </c>
      <c r="F199" s="15"/>
      <c r="G199" s="16"/>
      <c r="H199" s="15"/>
      <c r="I199" s="16"/>
      <c r="J199" s="15"/>
      <c r="K199" s="16"/>
      <c r="L199" s="15"/>
      <c r="M199" s="63"/>
      <c r="N199" s="17"/>
      <c r="O199" s="16"/>
      <c r="P199" s="16"/>
      <c r="Q199" s="152">
        <f t="shared" si="8"/>
        <v>0</v>
      </c>
      <c r="R199" s="152">
        <f t="shared" si="9"/>
        <v>0</v>
      </c>
      <c r="S199" s="152">
        <f t="shared" si="10"/>
        <v>0</v>
      </c>
      <c r="T199" s="18">
        <f t="shared" si="11"/>
        <v>0</v>
      </c>
    </row>
    <row r="200" spans="2:20" x14ac:dyDescent="0.25">
      <c r="B200" s="117" t="s">
        <v>620</v>
      </c>
      <c r="C200" s="136" t="s">
        <v>375</v>
      </c>
      <c r="D200" s="14" t="s">
        <v>15</v>
      </c>
      <c r="E200" s="14" t="s">
        <v>16</v>
      </c>
      <c r="F200" s="15"/>
      <c r="G200" s="16"/>
      <c r="H200" s="15"/>
      <c r="I200" s="16"/>
      <c r="J200" s="15"/>
      <c r="K200" s="16"/>
      <c r="L200" s="15"/>
      <c r="M200" s="63"/>
      <c r="N200" s="17"/>
      <c r="O200" s="16"/>
      <c r="P200" s="16"/>
      <c r="Q200" s="152">
        <f t="shared" si="8"/>
        <v>0</v>
      </c>
      <c r="R200" s="152">
        <f t="shared" si="9"/>
        <v>0</v>
      </c>
      <c r="S200" s="152">
        <f t="shared" si="10"/>
        <v>0</v>
      </c>
      <c r="T200" s="18">
        <f t="shared" si="11"/>
        <v>0</v>
      </c>
    </row>
    <row r="201" spans="2:20" x14ac:dyDescent="0.25">
      <c r="B201" s="117" t="s">
        <v>376</v>
      </c>
      <c r="C201" s="136" t="s">
        <v>377</v>
      </c>
      <c r="D201" s="14" t="s">
        <v>15</v>
      </c>
      <c r="E201" s="14" t="s">
        <v>761</v>
      </c>
      <c r="F201" s="15"/>
      <c r="G201" s="16"/>
      <c r="H201" s="15"/>
      <c r="I201" s="16"/>
      <c r="J201" s="15"/>
      <c r="K201" s="16"/>
      <c r="L201" s="15"/>
      <c r="M201" s="63"/>
      <c r="N201" s="17"/>
      <c r="O201" s="16"/>
      <c r="P201" s="16"/>
      <c r="Q201" s="152">
        <f t="shared" si="8"/>
        <v>0</v>
      </c>
      <c r="R201" s="152">
        <f t="shared" si="9"/>
        <v>0</v>
      </c>
      <c r="S201" s="152">
        <f t="shared" si="10"/>
        <v>0</v>
      </c>
      <c r="T201" s="18">
        <f t="shared" si="11"/>
        <v>0</v>
      </c>
    </row>
    <row r="202" spans="2:20" x14ac:dyDescent="0.25">
      <c r="B202" s="117" t="s">
        <v>936</v>
      </c>
      <c r="C202" s="136" t="s">
        <v>379</v>
      </c>
      <c r="D202" s="14" t="s">
        <v>15</v>
      </c>
      <c r="E202" s="14" t="s">
        <v>16</v>
      </c>
      <c r="F202" s="15">
        <v>46027</v>
      </c>
      <c r="G202" s="16">
        <v>0.2</v>
      </c>
      <c r="H202" s="15"/>
      <c r="I202" s="16"/>
      <c r="J202" s="15"/>
      <c r="K202" s="16"/>
      <c r="L202" s="15"/>
      <c r="M202" s="63"/>
      <c r="N202" s="17"/>
      <c r="O202" s="16"/>
      <c r="P202" s="16"/>
      <c r="Q202" s="152">
        <f t="shared" si="8"/>
        <v>0.2</v>
      </c>
      <c r="R202" s="152">
        <f t="shared" si="9"/>
        <v>0.2</v>
      </c>
      <c r="S202" s="152">
        <f t="shared" si="10"/>
        <v>0.2</v>
      </c>
      <c r="T202" s="18">
        <f t="shared" si="11"/>
        <v>0.2</v>
      </c>
    </row>
    <row r="203" spans="2:20" x14ac:dyDescent="0.25">
      <c r="B203" s="117" t="s">
        <v>382</v>
      </c>
      <c r="C203" s="136" t="s">
        <v>381</v>
      </c>
      <c r="D203" s="45" t="s">
        <v>15</v>
      </c>
      <c r="E203" s="45" t="s">
        <v>16</v>
      </c>
      <c r="F203" s="15"/>
      <c r="G203" s="16"/>
      <c r="H203" s="15"/>
      <c r="I203" s="16"/>
      <c r="J203" s="15"/>
      <c r="K203" s="16"/>
      <c r="L203" s="15"/>
      <c r="M203" s="63"/>
      <c r="N203" s="17"/>
      <c r="O203" s="16"/>
      <c r="P203" s="16"/>
      <c r="Q203" s="152">
        <f t="shared" si="8"/>
        <v>0</v>
      </c>
      <c r="R203" s="152">
        <f t="shared" si="9"/>
        <v>0</v>
      </c>
      <c r="S203" s="152">
        <f t="shared" si="10"/>
        <v>0</v>
      </c>
      <c r="T203" s="18">
        <f t="shared" si="11"/>
        <v>0</v>
      </c>
    </row>
    <row r="204" spans="2:20" x14ac:dyDescent="0.25">
      <c r="B204" s="117" t="s">
        <v>382</v>
      </c>
      <c r="C204" s="136" t="s">
        <v>383</v>
      </c>
      <c r="D204" s="45" t="s">
        <v>15</v>
      </c>
      <c r="E204" s="14" t="s">
        <v>761</v>
      </c>
      <c r="F204" s="15"/>
      <c r="G204" s="16"/>
      <c r="H204" s="15"/>
      <c r="I204" s="16"/>
      <c r="J204" s="15"/>
      <c r="K204" s="16"/>
      <c r="L204" s="15"/>
      <c r="M204" s="63"/>
      <c r="N204" s="17"/>
      <c r="O204" s="16"/>
      <c r="P204" s="16"/>
      <c r="Q204" s="152">
        <f t="shared" si="8"/>
        <v>0</v>
      </c>
      <c r="R204" s="152">
        <f t="shared" si="9"/>
        <v>0</v>
      </c>
      <c r="S204" s="152">
        <f t="shared" si="10"/>
        <v>0</v>
      </c>
      <c r="T204" s="18">
        <f t="shared" si="11"/>
        <v>0</v>
      </c>
    </row>
    <row r="205" spans="2:20" x14ac:dyDescent="0.25">
      <c r="B205" s="117" t="s">
        <v>384</v>
      </c>
      <c r="C205" s="136" t="s">
        <v>385</v>
      </c>
      <c r="D205" s="45" t="s">
        <v>24</v>
      </c>
      <c r="E205" s="14" t="s">
        <v>16</v>
      </c>
      <c r="F205" s="15"/>
      <c r="G205" s="16"/>
      <c r="H205" s="15"/>
      <c r="I205" s="16"/>
      <c r="J205" s="15"/>
      <c r="K205" s="16"/>
      <c r="L205" s="15"/>
      <c r="M205" s="63"/>
      <c r="N205" s="17"/>
      <c r="O205" s="16"/>
      <c r="P205" s="16"/>
      <c r="Q205" s="152">
        <f t="shared" ref="Q205:Q268" si="12">IF(F205&lt;=Exp26Q1,G205,0)+IF(H205&lt;=Exp26Q1,I205,0)+IF(J205&lt;=Exp26Q1,K205,0)+IF(L205&lt;=Exp26Q1,M205,0)+IF(N205&lt;=Exp26Q1,O205,0)</f>
        <v>0</v>
      </c>
      <c r="R205" s="152">
        <f t="shared" ref="R205:R268" si="13">IF(F205&lt;=Exp26H1,G205,0)+IF(H205&lt;=Exp26H1,I205,0)+IF(J205&lt;=Exp26H1,K205,0)+IF(L205&lt;=Exp26H1,M205,0)+IF(N205&lt;=Exp26H1,O205,0)</f>
        <v>0</v>
      </c>
      <c r="S205" s="152">
        <f t="shared" ref="S205:S268" si="14">IF(F205&lt;=Exp26Q3,G205,0)+IF(H205&lt;=Exp26Q3,I205,0)+IF(J205&lt;=Exp26Q3,K205,0)+IF(L205&lt;=Exp26Q3,M205,0)+IF(N205&lt;=Exp26Q3,O205,0)</f>
        <v>0</v>
      </c>
      <c r="T205" s="18">
        <f t="shared" si="11"/>
        <v>0</v>
      </c>
    </row>
    <row r="206" spans="2:20" x14ac:dyDescent="0.25">
      <c r="B206" s="117" t="s">
        <v>386</v>
      </c>
      <c r="C206" s="136" t="s">
        <v>387</v>
      </c>
      <c r="D206" s="14" t="s">
        <v>15</v>
      </c>
      <c r="E206" s="14" t="s">
        <v>16</v>
      </c>
      <c r="F206" s="15">
        <v>46034</v>
      </c>
      <c r="G206" s="16">
        <v>0.5</v>
      </c>
      <c r="H206" s="15"/>
      <c r="I206" s="16"/>
      <c r="J206" s="15"/>
      <c r="K206" s="16"/>
      <c r="L206" s="15"/>
      <c r="M206" s="63"/>
      <c r="N206" s="17"/>
      <c r="O206" s="16"/>
      <c r="P206" s="16"/>
      <c r="Q206" s="152">
        <f t="shared" si="12"/>
        <v>0.5</v>
      </c>
      <c r="R206" s="152">
        <f t="shared" si="13"/>
        <v>0.5</v>
      </c>
      <c r="S206" s="152">
        <f t="shared" si="14"/>
        <v>0.5</v>
      </c>
      <c r="T206" s="18">
        <f t="shared" si="11"/>
        <v>0.5</v>
      </c>
    </row>
    <row r="207" spans="2:20" x14ac:dyDescent="0.25">
      <c r="B207" s="117" t="s">
        <v>388</v>
      </c>
      <c r="C207" s="136" t="s">
        <v>389</v>
      </c>
      <c r="D207" s="14" t="s">
        <v>15</v>
      </c>
      <c r="E207" s="14" t="s">
        <v>761</v>
      </c>
      <c r="F207" s="15"/>
      <c r="G207" s="16"/>
      <c r="H207" s="15"/>
      <c r="I207" s="16"/>
      <c r="J207" s="15"/>
      <c r="K207" s="16"/>
      <c r="L207" s="15"/>
      <c r="M207" s="63"/>
      <c r="N207" s="17"/>
      <c r="O207" s="16"/>
      <c r="P207" s="16"/>
      <c r="Q207" s="152">
        <f t="shared" si="12"/>
        <v>0</v>
      </c>
      <c r="R207" s="152">
        <f t="shared" si="13"/>
        <v>0</v>
      </c>
      <c r="S207" s="152">
        <f t="shared" si="14"/>
        <v>0</v>
      </c>
      <c r="T207" s="18">
        <f t="shared" ref="T207:T270" si="15">G207+I207+K207+M207+O207</f>
        <v>0</v>
      </c>
    </row>
    <row r="208" spans="2:20" x14ac:dyDescent="0.25">
      <c r="B208" s="117" t="s">
        <v>390</v>
      </c>
      <c r="C208" s="136" t="s">
        <v>391</v>
      </c>
      <c r="D208" s="14" t="s">
        <v>15</v>
      </c>
      <c r="E208" s="14" t="s">
        <v>21</v>
      </c>
      <c r="F208" s="15"/>
      <c r="G208" s="16"/>
      <c r="H208" s="15"/>
      <c r="I208" s="16"/>
      <c r="J208" s="15"/>
      <c r="K208" s="16"/>
      <c r="L208" s="15"/>
      <c r="M208" s="63"/>
      <c r="N208" s="17"/>
      <c r="O208" s="16"/>
      <c r="P208" s="16"/>
      <c r="Q208" s="152">
        <f t="shared" si="12"/>
        <v>0</v>
      </c>
      <c r="R208" s="152">
        <f t="shared" si="13"/>
        <v>0</v>
      </c>
      <c r="S208" s="152">
        <f t="shared" si="14"/>
        <v>0</v>
      </c>
      <c r="T208" s="18">
        <f t="shared" si="15"/>
        <v>0</v>
      </c>
    </row>
    <row r="209" spans="2:20" x14ac:dyDescent="0.25">
      <c r="B209" s="117" t="s">
        <v>392</v>
      </c>
      <c r="C209" s="136" t="s">
        <v>393</v>
      </c>
      <c r="D209" s="14" t="s">
        <v>15</v>
      </c>
      <c r="E209" s="14" t="s">
        <v>761</v>
      </c>
      <c r="F209" s="15"/>
      <c r="G209" s="16"/>
      <c r="H209" s="15"/>
      <c r="I209" s="16"/>
      <c r="J209" s="15"/>
      <c r="K209" s="16"/>
      <c r="L209" s="15"/>
      <c r="M209" s="63"/>
      <c r="N209" s="17"/>
      <c r="O209" s="16"/>
      <c r="P209" s="16"/>
      <c r="Q209" s="152">
        <f t="shared" si="12"/>
        <v>0</v>
      </c>
      <c r="R209" s="152">
        <f t="shared" si="13"/>
        <v>0</v>
      </c>
      <c r="S209" s="152">
        <f t="shared" si="14"/>
        <v>0</v>
      </c>
      <c r="T209" s="18">
        <f t="shared" si="15"/>
        <v>0</v>
      </c>
    </row>
    <row r="210" spans="2:20" x14ac:dyDescent="0.25">
      <c r="B210" s="117" t="s">
        <v>396</v>
      </c>
      <c r="C210" s="136" t="s">
        <v>397</v>
      </c>
      <c r="D210" s="14" t="s">
        <v>15</v>
      </c>
      <c r="E210" s="14" t="s">
        <v>16</v>
      </c>
      <c r="F210" s="15"/>
      <c r="G210" s="16"/>
      <c r="H210" s="15"/>
      <c r="I210" s="16"/>
      <c r="J210" s="15"/>
      <c r="K210" s="16"/>
      <c r="L210" s="15"/>
      <c r="M210" s="63"/>
      <c r="N210" s="17"/>
      <c r="O210" s="16"/>
      <c r="P210" s="16"/>
      <c r="Q210" s="152">
        <f t="shared" si="12"/>
        <v>0</v>
      </c>
      <c r="R210" s="152">
        <f t="shared" si="13"/>
        <v>0</v>
      </c>
      <c r="S210" s="152">
        <f t="shared" si="14"/>
        <v>0</v>
      </c>
      <c r="T210" s="18">
        <f t="shared" si="15"/>
        <v>0</v>
      </c>
    </row>
    <row r="211" spans="2:20" x14ac:dyDescent="0.25">
      <c r="B211" s="117" t="s">
        <v>398</v>
      </c>
      <c r="C211" s="136" t="s">
        <v>399</v>
      </c>
      <c r="D211" s="14" t="s">
        <v>24</v>
      </c>
      <c r="E211" s="14" t="s">
        <v>16</v>
      </c>
      <c r="F211" s="15"/>
      <c r="G211" s="16"/>
      <c r="H211" s="15"/>
      <c r="I211" s="16"/>
      <c r="J211" s="15"/>
      <c r="K211" s="16"/>
      <c r="L211" s="15"/>
      <c r="M211" s="63"/>
      <c r="N211" s="17"/>
      <c r="O211" s="16"/>
      <c r="P211" s="16"/>
      <c r="Q211" s="152">
        <f t="shared" si="12"/>
        <v>0</v>
      </c>
      <c r="R211" s="152">
        <f t="shared" si="13"/>
        <v>0</v>
      </c>
      <c r="S211" s="152">
        <f t="shared" si="14"/>
        <v>0</v>
      </c>
      <c r="T211" s="18">
        <f t="shared" si="15"/>
        <v>0</v>
      </c>
    </row>
    <row r="212" spans="2:20" x14ac:dyDescent="0.25">
      <c r="B212" s="117" t="s">
        <v>400</v>
      </c>
      <c r="C212" s="136" t="s">
        <v>401</v>
      </c>
      <c r="D212" s="14" t="s">
        <v>24</v>
      </c>
      <c r="E212" s="14" t="s">
        <v>16</v>
      </c>
      <c r="F212" s="15"/>
      <c r="G212" s="16"/>
      <c r="H212" s="15"/>
      <c r="I212" s="16"/>
      <c r="J212" s="15"/>
      <c r="K212" s="16"/>
      <c r="L212" s="15"/>
      <c r="M212" s="63"/>
      <c r="N212" s="17"/>
      <c r="O212" s="16"/>
      <c r="P212" s="16"/>
      <c r="Q212" s="152">
        <f t="shared" si="12"/>
        <v>0</v>
      </c>
      <c r="R212" s="152">
        <f t="shared" si="13"/>
        <v>0</v>
      </c>
      <c r="S212" s="152">
        <f t="shared" si="14"/>
        <v>0</v>
      </c>
      <c r="T212" s="18">
        <f t="shared" si="15"/>
        <v>0</v>
      </c>
    </row>
    <row r="213" spans="2:20" x14ac:dyDescent="0.25">
      <c r="B213" s="117" t="s">
        <v>919</v>
      </c>
      <c r="C213" s="136" t="s">
        <v>920</v>
      </c>
      <c r="D213" s="14" t="s">
        <v>755</v>
      </c>
      <c r="E213" s="14" t="s">
        <v>475</v>
      </c>
      <c r="F213" s="15"/>
      <c r="G213" s="16"/>
      <c r="H213" s="15"/>
      <c r="I213" s="16"/>
      <c r="J213" s="15"/>
      <c r="K213" s="16"/>
      <c r="L213" s="15"/>
      <c r="M213" s="63"/>
      <c r="N213" s="17"/>
      <c r="O213" s="16"/>
      <c r="P213" s="16"/>
      <c r="Q213" s="152">
        <f t="shared" si="12"/>
        <v>0</v>
      </c>
      <c r="R213" s="152">
        <f t="shared" si="13"/>
        <v>0</v>
      </c>
      <c r="S213" s="152">
        <f t="shared" si="14"/>
        <v>0</v>
      </c>
      <c r="T213" s="18">
        <f t="shared" si="15"/>
        <v>0</v>
      </c>
    </row>
    <row r="214" spans="2:20" x14ac:dyDescent="0.25">
      <c r="B214" s="117" t="s">
        <v>404</v>
      </c>
      <c r="C214" s="136" t="s">
        <v>405</v>
      </c>
      <c r="D214" s="14" t="s">
        <v>15</v>
      </c>
      <c r="E214" s="14" t="s">
        <v>16</v>
      </c>
      <c r="F214" s="15"/>
      <c r="G214" s="16"/>
      <c r="H214" s="15"/>
      <c r="I214" s="16"/>
      <c r="J214" s="15"/>
      <c r="K214" s="16"/>
      <c r="L214" s="15"/>
      <c r="M214" s="63"/>
      <c r="N214" s="17"/>
      <c r="O214" s="16"/>
      <c r="P214" s="16"/>
      <c r="Q214" s="152">
        <f t="shared" si="12"/>
        <v>0</v>
      </c>
      <c r="R214" s="152">
        <f t="shared" si="13"/>
        <v>0</v>
      </c>
      <c r="S214" s="152">
        <f t="shared" si="14"/>
        <v>0</v>
      </c>
      <c r="T214" s="18">
        <f t="shared" si="15"/>
        <v>0</v>
      </c>
    </row>
    <row r="215" spans="2:20" x14ac:dyDescent="0.25">
      <c r="B215" s="155" t="s">
        <v>840</v>
      </c>
      <c r="C215" s="156" t="s">
        <v>841</v>
      </c>
      <c r="D215" s="39" t="s">
        <v>15</v>
      </c>
      <c r="E215" s="39" t="s">
        <v>200</v>
      </c>
      <c r="F215" s="15"/>
      <c r="G215" s="16"/>
      <c r="H215" s="15"/>
      <c r="I215" s="16"/>
      <c r="J215" s="15"/>
      <c r="K215" s="16"/>
      <c r="L215" s="15"/>
      <c r="M215" s="63"/>
      <c r="N215" s="17"/>
      <c r="O215" s="16"/>
      <c r="P215" s="41"/>
      <c r="Q215" s="152">
        <f t="shared" si="12"/>
        <v>0</v>
      </c>
      <c r="R215" s="152">
        <f t="shared" si="13"/>
        <v>0</v>
      </c>
      <c r="S215" s="152">
        <f t="shared" si="14"/>
        <v>0</v>
      </c>
      <c r="T215" s="18">
        <f t="shared" si="15"/>
        <v>0</v>
      </c>
    </row>
    <row r="216" spans="2:20" x14ac:dyDescent="0.25">
      <c r="B216" s="117" t="s">
        <v>406</v>
      </c>
      <c r="C216" s="136" t="s">
        <v>547</v>
      </c>
      <c r="D216" s="14" t="s">
        <v>24</v>
      </c>
      <c r="E216" s="14" t="s">
        <v>16</v>
      </c>
      <c r="F216" s="15"/>
      <c r="G216" s="16"/>
      <c r="H216" s="15"/>
      <c r="I216" s="16"/>
      <c r="J216" s="15"/>
      <c r="K216" s="16"/>
      <c r="L216" s="15"/>
      <c r="M216" s="63"/>
      <c r="N216" s="17"/>
      <c r="O216" s="16"/>
      <c r="P216" s="16"/>
      <c r="Q216" s="152">
        <f t="shared" si="12"/>
        <v>0</v>
      </c>
      <c r="R216" s="152">
        <f t="shared" si="13"/>
        <v>0</v>
      </c>
      <c r="S216" s="152">
        <f t="shared" si="14"/>
        <v>0</v>
      </c>
      <c r="T216" s="18">
        <f t="shared" si="15"/>
        <v>0</v>
      </c>
    </row>
    <row r="217" spans="2:20" x14ac:dyDescent="0.25">
      <c r="B217" s="158" t="s">
        <v>408</v>
      </c>
      <c r="C217" s="159" t="s">
        <v>409</v>
      </c>
      <c r="D217" s="45" t="s">
        <v>15</v>
      </c>
      <c r="E217" s="45" t="s">
        <v>16</v>
      </c>
      <c r="F217" s="15"/>
      <c r="G217" s="16"/>
      <c r="H217" s="15"/>
      <c r="I217" s="16"/>
      <c r="J217" s="15"/>
      <c r="K217" s="16"/>
      <c r="L217" s="15"/>
      <c r="M217" s="63"/>
      <c r="N217" s="17"/>
      <c r="O217" s="16"/>
      <c r="P217" s="47"/>
      <c r="Q217" s="152">
        <f t="shared" si="12"/>
        <v>0</v>
      </c>
      <c r="R217" s="152">
        <f t="shared" si="13"/>
        <v>0</v>
      </c>
      <c r="S217" s="152">
        <f t="shared" si="14"/>
        <v>0</v>
      </c>
      <c r="T217" s="18">
        <f t="shared" si="15"/>
        <v>0</v>
      </c>
    </row>
    <row r="218" spans="2:20" x14ac:dyDescent="0.25">
      <c r="B218" s="117" t="s">
        <v>410</v>
      </c>
      <c r="C218" s="136" t="s">
        <v>411</v>
      </c>
      <c r="D218" s="14" t="s">
        <v>15</v>
      </c>
      <c r="E218" s="14" t="s">
        <v>16</v>
      </c>
      <c r="F218" s="15"/>
      <c r="G218" s="16"/>
      <c r="H218" s="15"/>
      <c r="I218" s="16"/>
      <c r="J218" s="15"/>
      <c r="K218" s="16"/>
      <c r="L218" s="15"/>
      <c r="M218" s="63"/>
      <c r="N218" s="17"/>
      <c r="O218" s="16"/>
      <c r="P218" s="16"/>
      <c r="Q218" s="152">
        <f t="shared" si="12"/>
        <v>0</v>
      </c>
      <c r="R218" s="152">
        <f t="shared" si="13"/>
        <v>0</v>
      </c>
      <c r="S218" s="152">
        <f t="shared" si="14"/>
        <v>0</v>
      </c>
      <c r="T218" s="18">
        <f t="shared" si="15"/>
        <v>0</v>
      </c>
    </row>
    <row r="219" spans="2:20" x14ac:dyDescent="0.25">
      <c r="B219" s="117" t="s">
        <v>412</v>
      </c>
      <c r="C219" s="136" t="s">
        <v>413</v>
      </c>
      <c r="D219" s="14" t="s">
        <v>24</v>
      </c>
      <c r="E219" s="14" t="s">
        <v>16</v>
      </c>
      <c r="F219" s="15"/>
      <c r="G219" s="16"/>
      <c r="H219" s="15"/>
      <c r="I219" s="16"/>
      <c r="J219" s="15"/>
      <c r="K219" s="16"/>
      <c r="L219" s="15"/>
      <c r="M219" s="63"/>
      <c r="N219" s="17"/>
      <c r="O219" s="16"/>
      <c r="P219" s="16"/>
      <c r="Q219" s="152">
        <f t="shared" si="12"/>
        <v>0</v>
      </c>
      <c r="R219" s="152">
        <f t="shared" si="13"/>
        <v>0</v>
      </c>
      <c r="S219" s="152">
        <f t="shared" si="14"/>
        <v>0</v>
      </c>
      <c r="T219" s="18">
        <f t="shared" si="15"/>
        <v>0</v>
      </c>
    </row>
    <row r="220" spans="2:20" x14ac:dyDescent="0.25">
      <c r="B220" s="117" t="s">
        <v>414</v>
      </c>
      <c r="C220" s="136" t="s">
        <v>415</v>
      </c>
      <c r="D220" s="14" t="s">
        <v>24</v>
      </c>
      <c r="E220" s="14" t="s">
        <v>16</v>
      </c>
      <c r="F220" s="15"/>
      <c r="G220" s="16"/>
      <c r="H220" s="15"/>
      <c r="I220" s="16"/>
      <c r="J220" s="15"/>
      <c r="K220" s="16"/>
      <c r="L220" s="15"/>
      <c r="M220" s="63"/>
      <c r="N220" s="17"/>
      <c r="O220" s="16"/>
      <c r="P220" s="16"/>
      <c r="Q220" s="152">
        <f t="shared" si="12"/>
        <v>0</v>
      </c>
      <c r="R220" s="152">
        <f t="shared" si="13"/>
        <v>0</v>
      </c>
      <c r="S220" s="152">
        <f t="shared" si="14"/>
        <v>0</v>
      </c>
      <c r="T220" s="18">
        <f t="shared" si="15"/>
        <v>0</v>
      </c>
    </row>
    <row r="221" spans="2:20" x14ac:dyDescent="0.25">
      <c r="B221" s="117" t="s">
        <v>888</v>
      </c>
      <c r="C221" s="136" t="s">
        <v>889</v>
      </c>
      <c r="D221" s="14" t="s">
        <v>15</v>
      </c>
      <c r="E221" s="14" t="s">
        <v>200</v>
      </c>
      <c r="F221" s="15"/>
      <c r="G221" s="16"/>
      <c r="H221" s="15"/>
      <c r="I221" s="16"/>
      <c r="J221" s="15"/>
      <c r="K221" s="16"/>
      <c r="L221" s="15"/>
      <c r="M221" s="63"/>
      <c r="N221" s="17"/>
      <c r="O221" s="16"/>
      <c r="P221" s="16"/>
      <c r="Q221" s="152">
        <f t="shared" si="12"/>
        <v>0</v>
      </c>
      <c r="R221" s="152">
        <f t="shared" si="13"/>
        <v>0</v>
      </c>
      <c r="S221" s="152">
        <f t="shared" si="14"/>
        <v>0</v>
      </c>
      <c r="T221" s="18">
        <f t="shared" si="15"/>
        <v>0</v>
      </c>
    </row>
    <row r="222" spans="2:20" x14ac:dyDescent="0.25">
      <c r="B222" s="117" t="s">
        <v>418</v>
      </c>
      <c r="C222" s="136" t="s">
        <v>419</v>
      </c>
      <c r="D222" s="14" t="s">
        <v>15</v>
      </c>
      <c r="E222" s="14" t="s">
        <v>761</v>
      </c>
      <c r="F222" s="15"/>
      <c r="G222" s="16"/>
      <c r="H222" s="15"/>
      <c r="I222" s="16"/>
      <c r="J222" s="15"/>
      <c r="K222" s="16"/>
      <c r="L222" s="15"/>
      <c r="M222" s="63"/>
      <c r="N222" s="17"/>
      <c r="O222" s="16"/>
      <c r="P222" s="16"/>
      <c r="Q222" s="152">
        <f t="shared" si="12"/>
        <v>0</v>
      </c>
      <c r="R222" s="152">
        <f t="shared" si="13"/>
        <v>0</v>
      </c>
      <c r="S222" s="152">
        <f t="shared" si="14"/>
        <v>0</v>
      </c>
      <c r="T222" s="18">
        <f t="shared" si="15"/>
        <v>0</v>
      </c>
    </row>
    <row r="223" spans="2:20" x14ac:dyDescent="0.25">
      <c r="B223" s="155" t="s">
        <v>420</v>
      </c>
      <c r="C223" s="156" t="s">
        <v>421</v>
      </c>
      <c r="D223" s="39" t="s">
        <v>15</v>
      </c>
      <c r="E223" s="39" t="s">
        <v>21</v>
      </c>
      <c r="F223" s="15"/>
      <c r="G223" s="16"/>
      <c r="H223" s="15"/>
      <c r="I223" s="16"/>
      <c r="J223" s="15"/>
      <c r="K223" s="16"/>
      <c r="L223" s="15"/>
      <c r="M223" s="63"/>
      <c r="N223" s="17"/>
      <c r="O223" s="16"/>
      <c r="P223" s="41"/>
      <c r="Q223" s="152">
        <f t="shared" si="12"/>
        <v>0</v>
      </c>
      <c r="R223" s="152">
        <f t="shared" si="13"/>
        <v>0</v>
      </c>
      <c r="S223" s="152">
        <f t="shared" si="14"/>
        <v>0</v>
      </c>
      <c r="T223" s="18">
        <f t="shared" si="15"/>
        <v>0</v>
      </c>
    </row>
    <row r="224" spans="2:20" x14ac:dyDescent="0.25">
      <c r="B224" s="117" t="s">
        <v>822</v>
      </c>
      <c r="C224" s="136" t="s">
        <v>395</v>
      </c>
      <c r="D224" s="14" t="s">
        <v>15</v>
      </c>
      <c r="E224" s="14" t="s">
        <v>16</v>
      </c>
      <c r="F224" s="15">
        <v>46072</v>
      </c>
      <c r="G224" s="16">
        <f>0.372/1.1845*1</f>
        <v>0.31405656395103415</v>
      </c>
      <c r="H224" s="15"/>
      <c r="I224" s="16"/>
      <c r="J224" s="15"/>
      <c r="K224" s="16"/>
      <c r="L224" s="15"/>
      <c r="M224" s="63"/>
      <c r="N224" s="17"/>
      <c r="O224" s="16"/>
      <c r="P224" s="16"/>
      <c r="Q224" s="152">
        <f t="shared" si="12"/>
        <v>0.31405656395103415</v>
      </c>
      <c r="R224" s="152">
        <f t="shared" si="13"/>
        <v>0.31405656395103415</v>
      </c>
      <c r="S224" s="152">
        <f t="shared" si="14"/>
        <v>0.31405656395103415</v>
      </c>
      <c r="T224" s="18">
        <f t="shared" si="15"/>
        <v>0.31405656395103415</v>
      </c>
    </row>
    <row r="225" spans="2:20" x14ac:dyDescent="0.25">
      <c r="B225" s="117" t="s">
        <v>738</v>
      </c>
      <c r="C225" s="136" t="s">
        <v>740</v>
      </c>
      <c r="D225" s="39" t="s">
        <v>15</v>
      </c>
      <c r="E225" s="14" t="s">
        <v>16</v>
      </c>
      <c r="F225" s="15">
        <v>46066</v>
      </c>
      <c r="G225" s="16">
        <v>5.35</v>
      </c>
      <c r="H225" s="15"/>
      <c r="I225" s="16"/>
      <c r="J225" s="15"/>
      <c r="K225" s="16"/>
      <c r="L225" s="15"/>
      <c r="M225" s="63"/>
      <c r="N225" s="17"/>
      <c r="O225" s="16"/>
      <c r="P225" s="16"/>
      <c r="Q225" s="152">
        <f t="shared" si="12"/>
        <v>5.35</v>
      </c>
      <c r="R225" s="152">
        <f t="shared" si="13"/>
        <v>5.35</v>
      </c>
      <c r="S225" s="152">
        <f t="shared" si="14"/>
        <v>5.35</v>
      </c>
      <c r="T225" s="18">
        <f t="shared" si="15"/>
        <v>5.35</v>
      </c>
    </row>
    <row r="226" spans="2:20" x14ac:dyDescent="0.25">
      <c r="B226" s="155" t="s">
        <v>739</v>
      </c>
      <c r="C226" s="156" t="s">
        <v>741</v>
      </c>
      <c r="D226" s="39" t="s">
        <v>15</v>
      </c>
      <c r="E226" s="39" t="s">
        <v>16</v>
      </c>
      <c r="F226" s="15">
        <v>46080</v>
      </c>
      <c r="G226" s="16">
        <v>0.7</v>
      </c>
      <c r="H226" s="15"/>
      <c r="I226" s="16"/>
      <c r="J226" s="15"/>
      <c r="K226" s="16"/>
      <c r="L226" s="15"/>
      <c r="M226" s="63"/>
      <c r="N226" s="17"/>
      <c r="O226" s="16"/>
      <c r="P226" s="41"/>
      <c r="Q226" s="152">
        <f t="shared" si="12"/>
        <v>0.7</v>
      </c>
      <c r="R226" s="152">
        <f t="shared" si="13"/>
        <v>0.7</v>
      </c>
      <c r="S226" s="152">
        <f t="shared" si="14"/>
        <v>0.7</v>
      </c>
      <c r="T226" s="18">
        <f t="shared" si="15"/>
        <v>0.7</v>
      </c>
    </row>
    <row r="227" spans="2:20" x14ac:dyDescent="0.25">
      <c r="B227" s="117" t="s">
        <v>771</v>
      </c>
      <c r="C227" s="136" t="s">
        <v>772</v>
      </c>
      <c r="D227" s="39" t="s">
        <v>15</v>
      </c>
      <c r="E227" s="14" t="s">
        <v>16</v>
      </c>
      <c r="F227" s="15"/>
      <c r="G227" s="16"/>
      <c r="H227" s="15"/>
      <c r="I227" s="16"/>
      <c r="J227" s="15"/>
      <c r="K227" s="16"/>
      <c r="L227" s="15"/>
      <c r="M227" s="63"/>
      <c r="N227" s="17"/>
      <c r="O227" s="16"/>
      <c r="P227" s="16"/>
      <c r="Q227" s="152">
        <f t="shared" si="12"/>
        <v>0</v>
      </c>
      <c r="R227" s="152">
        <f t="shared" si="13"/>
        <v>0</v>
      </c>
      <c r="S227" s="152">
        <f t="shared" si="14"/>
        <v>0</v>
      </c>
      <c r="T227" s="18">
        <f t="shared" si="15"/>
        <v>0</v>
      </c>
    </row>
    <row r="228" spans="2:20" x14ac:dyDescent="0.25">
      <c r="B228" s="117" t="s">
        <v>879</v>
      </c>
      <c r="C228" s="136" t="s">
        <v>880</v>
      </c>
      <c r="D228" s="14" t="s">
        <v>15</v>
      </c>
      <c r="E228" s="14" t="s">
        <v>21</v>
      </c>
      <c r="F228" s="15"/>
      <c r="G228" s="16"/>
      <c r="H228" s="15"/>
      <c r="I228" s="16"/>
      <c r="J228" s="15"/>
      <c r="K228" s="16"/>
      <c r="L228" s="15"/>
      <c r="M228" s="63"/>
      <c r="N228" s="17"/>
      <c r="O228" s="16"/>
      <c r="P228" s="16"/>
      <c r="Q228" s="152">
        <f t="shared" si="12"/>
        <v>0</v>
      </c>
      <c r="R228" s="152">
        <f t="shared" si="13"/>
        <v>0</v>
      </c>
      <c r="S228" s="152">
        <f t="shared" si="14"/>
        <v>0</v>
      </c>
      <c r="T228" s="18">
        <f t="shared" si="15"/>
        <v>0</v>
      </c>
    </row>
    <row r="229" spans="2:20" x14ac:dyDescent="0.25">
      <c r="B229" s="158" t="s">
        <v>850</v>
      </c>
      <c r="C229" s="159" t="s">
        <v>848</v>
      </c>
      <c r="D229" s="39" t="s">
        <v>15</v>
      </c>
      <c r="E229" s="45" t="s">
        <v>849</v>
      </c>
      <c r="F229" s="15"/>
      <c r="G229" s="16"/>
      <c r="H229" s="15"/>
      <c r="I229" s="16"/>
      <c r="J229" s="15"/>
      <c r="K229" s="16"/>
      <c r="L229" s="15"/>
      <c r="M229" s="63"/>
      <c r="N229" s="17"/>
      <c r="O229" s="16"/>
      <c r="P229" s="47"/>
      <c r="Q229" s="152">
        <f t="shared" si="12"/>
        <v>0</v>
      </c>
      <c r="R229" s="152">
        <f t="shared" si="13"/>
        <v>0</v>
      </c>
      <c r="S229" s="152">
        <f t="shared" si="14"/>
        <v>0</v>
      </c>
      <c r="T229" s="18">
        <f t="shared" si="15"/>
        <v>0</v>
      </c>
    </row>
    <row r="230" spans="2:20" x14ac:dyDescent="0.25">
      <c r="B230" s="158" t="s">
        <v>426</v>
      </c>
      <c r="C230" s="159" t="s">
        <v>427</v>
      </c>
      <c r="D230" s="39" t="s">
        <v>15</v>
      </c>
      <c r="E230" s="45" t="s">
        <v>200</v>
      </c>
      <c r="F230" s="15"/>
      <c r="G230" s="16"/>
      <c r="H230" s="15"/>
      <c r="I230" s="16"/>
      <c r="J230" s="15"/>
      <c r="K230" s="16"/>
      <c r="L230" s="15"/>
      <c r="M230" s="63"/>
      <c r="N230" s="17"/>
      <c r="O230" s="16"/>
      <c r="P230" s="47"/>
      <c r="Q230" s="152">
        <f t="shared" si="12"/>
        <v>0</v>
      </c>
      <c r="R230" s="152">
        <f t="shared" si="13"/>
        <v>0</v>
      </c>
      <c r="S230" s="152">
        <f t="shared" si="14"/>
        <v>0</v>
      </c>
      <c r="T230" s="18">
        <f t="shared" si="15"/>
        <v>0</v>
      </c>
    </row>
    <row r="231" spans="2:20" x14ac:dyDescent="0.25">
      <c r="B231" s="158" t="s">
        <v>838</v>
      </c>
      <c r="C231" s="159" t="s">
        <v>839</v>
      </c>
      <c r="D231" s="39" t="s">
        <v>15</v>
      </c>
      <c r="E231" s="45" t="s">
        <v>200</v>
      </c>
      <c r="F231" s="15"/>
      <c r="G231" s="16"/>
      <c r="H231" s="15"/>
      <c r="I231" s="16"/>
      <c r="J231" s="15"/>
      <c r="K231" s="16"/>
      <c r="L231" s="15"/>
      <c r="M231" s="63"/>
      <c r="N231" s="17"/>
      <c r="O231" s="16"/>
      <c r="P231" s="47"/>
      <c r="Q231" s="152">
        <f t="shared" si="12"/>
        <v>0</v>
      </c>
      <c r="R231" s="152">
        <f t="shared" si="13"/>
        <v>0</v>
      </c>
      <c r="S231" s="152">
        <f t="shared" si="14"/>
        <v>0</v>
      </c>
      <c r="T231" s="18">
        <f t="shared" si="15"/>
        <v>0</v>
      </c>
    </row>
    <row r="232" spans="2:20" x14ac:dyDescent="0.25">
      <c r="B232" s="158" t="s">
        <v>842</v>
      </c>
      <c r="C232" s="159" t="s">
        <v>843</v>
      </c>
      <c r="D232" s="39" t="s">
        <v>15</v>
      </c>
      <c r="E232" s="45" t="s">
        <v>200</v>
      </c>
      <c r="F232" s="15"/>
      <c r="G232" s="16"/>
      <c r="H232" s="15"/>
      <c r="I232" s="16"/>
      <c r="J232" s="15"/>
      <c r="K232" s="16"/>
      <c r="L232" s="15"/>
      <c r="M232" s="63"/>
      <c r="N232" s="17"/>
      <c r="O232" s="16"/>
      <c r="P232" s="47"/>
      <c r="Q232" s="152">
        <f t="shared" si="12"/>
        <v>0</v>
      </c>
      <c r="R232" s="152">
        <f t="shared" si="13"/>
        <v>0</v>
      </c>
      <c r="S232" s="152">
        <f t="shared" si="14"/>
        <v>0</v>
      </c>
      <c r="T232" s="18">
        <f t="shared" si="15"/>
        <v>0</v>
      </c>
    </row>
    <row r="233" spans="2:20" x14ac:dyDescent="0.25">
      <c r="B233" s="158" t="s">
        <v>430</v>
      </c>
      <c r="C233" s="159" t="s">
        <v>953</v>
      </c>
      <c r="D233" s="39" t="s">
        <v>941</v>
      </c>
      <c r="E233" s="45" t="s">
        <v>16</v>
      </c>
      <c r="F233" s="15">
        <v>46041</v>
      </c>
      <c r="G233" s="16">
        <v>0.1208</v>
      </c>
      <c r="H233" s="15"/>
      <c r="I233" s="16"/>
      <c r="J233" s="15"/>
      <c r="K233" s="16"/>
      <c r="L233" s="15"/>
      <c r="M233" s="63"/>
      <c r="N233" s="17"/>
      <c r="O233" s="16"/>
      <c r="P233" s="47"/>
      <c r="Q233" s="152">
        <f t="shared" si="12"/>
        <v>0.1208</v>
      </c>
      <c r="R233" s="152">
        <f t="shared" si="13"/>
        <v>0.1208</v>
      </c>
      <c r="S233" s="152">
        <f t="shared" si="14"/>
        <v>0.1208</v>
      </c>
      <c r="T233" s="18">
        <f t="shared" si="15"/>
        <v>0.1208</v>
      </c>
    </row>
    <row r="234" spans="2:20" x14ac:dyDescent="0.25">
      <c r="B234" s="117" t="s">
        <v>435</v>
      </c>
      <c r="C234" s="136" t="s">
        <v>436</v>
      </c>
      <c r="D234" s="14" t="s">
        <v>24</v>
      </c>
      <c r="E234" s="14" t="s">
        <v>16</v>
      </c>
      <c r="F234" s="15"/>
      <c r="G234" s="16"/>
      <c r="H234" s="15"/>
      <c r="I234" s="16"/>
      <c r="J234" s="15"/>
      <c r="K234" s="16"/>
      <c r="L234" s="15"/>
      <c r="M234" s="63"/>
      <c r="N234" s="17"/>
      <c r="O234" s="16"/>
      <c r="P234" s="16"/>
      <c r="Q234" s="152">
        <f t="shared" si="12"/>
        <v>0</v>
      </c>
      <c r="R234" s="152">
        <f t="shared" si="13"/>
        <v>0</v>
      </c>
      <c r="S234" s="152">
        <f t="shared" si="14"/>
        <v>0</v>
      </c>
      <c r="T234" s="18">
        <f t="shared" si="15"/>
        <v>0</v>
      </c>
    </row>
    <row r="235" spans="2:20" x14ac:dyDescent="0.25">
      <c r="B235" s="117" t="s">
        <v>439</v>
      </c>
      <c r="C235" s="136" t="s">
        <v>440</v>
      </c>
      <c r="D235" s="14" t="s">
        <v>27</v>
      </c>
      <c r="E235" s="14" t="s">
        <v>16</v>
      </c>
      <c r="F235" s="15"/>
      <c r="G235" s="16"/>
      <c r="H235" s="15"/>
      <c r="I235" s="16"/>
      <c r="J235" s="15"/>
      <c r="K235" s="16"/>
      <c r="L235" s="15"/>
      <c r="M235" s="63"/>
      <c r="N235" s="17"/>
      <c r="O235" s="16"/>
      <c r="P235" s="16"/>
      <c r="Q235" s="152">
        <f t="shared" si="12"/>
        <v>0</v>
      </c>
      <c r="R235" s="152">
        <f t="shared" si="13"/>
        <v>0</v>
      </c>
      <c r="S235" s="152">
        <f t="shared" si="14"/>
        <v>0</v>
      </c>
      <c r="T235" s="18">
        <f t="shared" si="15"/>
        <v>0</v>
      </c>
    </row>
    <row r="236" spans="2:20" x14ac:dyDescent="0.25">
      <c r="B236" s="117" t="s">
        <v>445</v>
      </c>
      <c r="C236" s="136" t="s">
        <v>446</v>
      </c>
      <c r="D236" s="14" t="s">
        <v>15</v>
      </c>
      <c r="E236" s="14" t="s">
        <v>761</v>
      </c>
      <c r="F236" s="15"/>
      <c r="G236" s="16"/>
      <c r="H236" s="15"/>
      <c r="I236" s="16"/>
      <c r="J236" s="15"/>
      <c r="K236" s="16"/>
      <c r="L236" s="15"/>
      <c r="M236" s="63"/>
      <c r="N236" s="17"/>
      <c r="O236" s="16"/>
      <c r="P236" s="16"/>
      <c r="Q236" s="152">
        <f t="shared" si="12"/>
        <v>0</v>
      </c>
      <c r="R236" s="152">
        <f t="shared" si="13"/>
        <v>0</v>
      </c>
      <c r="S236" s="152">
        <f t="shared" si="14"/>
        <v>0</v>
      </c>
      <c r="T236" s="18">
        <f t="shared" si="15"/>
        <v>0</v>
      </c>
    </row>
    <row r="237" spans="2:20" x14ac:dyDescent="0.25">
      <c r="B237" s="117" t="s">
        <v>447</v>
      </c>
      <c r="C237" s="136" t="s">
        <v>448</v>
      </c>
      <c r="D237" s="14" t="s">
        <v>15</v>
      </c>
      <c r="E237" s="14" t="s">
        <v>56</v>
      </c>
      <c r="F237" s="15"/>
      <c r="G237" s="16"/>
      <c r="H237" s="15"/>
      <c r="I237" s="16"/>
      <c r="J237" s="15"/>
      <c r="K237" s="16"/>
      <c r="L237" s="15"/>
      <c r="M237" s="63"/>
      <c r="N237" s="17"/>
      <c r="O237" s="16"/>
      <c r="P237" s="16"/>
      <c r="Q237" s="152">
        <f t="shared" si="12"/>
        <v>0</v>
      </c>
      <c r="R237" s="152">
        <f t="shared" si="13"/>
        <v>0</v>
      </c>
      <c r="S237" s="152">
        <f t="shared" si="14"/>
        <v>0</v>
      </c>
      <c r="T237" s="18">
        <f t="shared" si="15"/>
        <v>0</v>
      </c>
    </row>
    <row r="238" spans="2:20" x14ac:dyDescent="0.25">
      <c r="B238" s="117" t="s">
        <v>733</v>
      </c>
      <c r="C238" s="136" t="s">
        <v>954</v>
      </c>
      <c r="D238" s="14" t="s">
        <v>941</v>
      </c>
      <c r="E238" s="14" t="s">
        <v>16</v>
      </c>
      <c r="F238" s="15"/>
      <c r="G238" s="16"/>
      <c r="H238" s="15"/>
      <c r="I238" s="16"/>
      <c r="J238" s="15"/>
      <c r="K238" s="16"/>
      <c r="L238" s="15"/>
      <c r="M238" s="63"/>
      <c r="N238" s="17"/>
      <c r="O238" s="16"/>
      <c r="P238" s="16"/>
      <c r="Q238" s="152">
        <f t="shared" si="12"/>
        <v>0</v>
      </c>
      <c r="R238" s="152">
        <f t="shared" si="13"/>
        <v>0</v>
      </c>
      <c r="S238" s="152">
        <f t="shared" si="14"/>
        <v>0</v>
      </c>
      <c r="T238" s="18">
        <f t="shared" si="15"/>
        <v>0</v>
      </c>
    </row>
    <row r="239" spans="2:20" x14ac:dyDescent="0.25">
      <c r="B239" s="117" t="s">
        <v>733</v>
      </c>
      <c r="C239" s="136" t="s">
        <v>362</v>
      </c>
      <c r="D239" s="14" t="s">
        <v>24</v>
      </c>
      <c r="E239" s="14" t="s">
        <v>16</v>
      </c>
      <c r="F239" s="15"/>
      <c r="G239" s="16"/>
      <c r="H239" s="15"/>
      <c r="I239" s="16"/>
      <c r="J239" s="15"/>
      <c r="K239" s="16"/>
      <c r="L239" s="15"/>
      <c r="M239" s="63"/>
      <c r="N239" s="17"/>
      <c r="O239" s="16"/>
      <c r="P239" s="16"/>
      <c r="Q239" s="152">
        <f t="shared" si="12"/>
        <v>0</v>
      </c>
      <c r="R239" s="152">
        <f t="shared" si="13"/>
        <v>0</v>
      </c>
      <c r="S239" s="152">
        <f t="shared" si="14"/>
        <v>0</v>
      </c>
      <c r="T239" s="18">
        <f t="shared" si="15"/>
        <v>0</v>
      </c>
    </row>
    <row r="240" spans="2:20" x14ac:dyDescent="0.25">
      <c r="B240" s="117" t="s">
        <v>451</v>
      </c>
      <c r="C240" s="136" t="s">
        <v>452</v>
      </c>
      <c r="D240" s="14" t="s">
        <v>15</v>
      </c>
      <c r="E240" s="14" t="s">
        <v>56</v>
      </c>
      <c r="F240" s="15"/>
      <c r="G240" s="16"/>
      <c r="H240" s="15"/>
      <c r="I240" s="16"/>
      <c r="J240" s="15"/>
      <c r="K240" s="16"/>
      <c r="L240" s="15"/>
      <c r="M240" s="63"/>
      <c r="N240" s="17"/>
      <c r="O240" s="16"/>
      <c r="P240" s="16"/>
      <c r="Q240" s="152">
        <f t="shared" si="12"/>
        <v>0</v>
      </c>
      <c r="R240" s="152">
        <f t="shared" si="13"/>
        <v>0</v>
      </c>
      <c r="S240" s="152">
        <f t="shared" si="14"/>
        <v>0</v>
      </c>
      <c r="T240" s="18">
        <f t="shared" si="15"/>
        <v>0</v>
      </c>
    </row>
    <row r="241" spans="2:20" x14ac:dyDescent="0.25">
      <c r="B241" s="117" t="s">
        <v>923</v>
      </c>
      <c r="C241" s="136" t="s">
        <v>924</v>
      </c>
      <c r="D241" s="14" t="s">
        <v>755</v>
      </c>
      <c r="E241" s="14" t="s">
        <v>475</v>
      </c>
      <c r="F241" s="15"/>
      <c r="G241" s="16"/>
      <c r="H241" s="15"/>
      <c r="I241" s="16"/>
      <c r="J241" s="15"/>
      <c r="K241" s="16"/>
      <c r="L241" s="15"/>
      <c r="M241" s="63"/>
      <c r="N241" s="17"/>
      <c r="O241" s="16"/>
      <c r="P241" s="16"/>
      <c r="Q241" s="152">
        <f t="shared" si="12"/>
        <v>0</v>
      </c>
      <c r="R241" s="152">
        <f t="shared" si="13"/>
        <v>0</v>
      </c>
      <c r="S241" s="152">
        <f t="shared" si="14"/>
        <v>0</v>
      </c>
      <c r="T241" s="18">
        <f t="shared" si="15"/>
        <v>0</v>
      </c>
    </row>
    <row r="242" spans="2:20" x14ac:dyDescent="0.25">
      <c r="B242" s="117" t="s">
        <v>853</v>
      </c>
      <c r="C242" s="136" t="s">
        <v>854</v>
      </c>
      <c r="D242" s="14" t="s">
        <v>15</v>
      </c>
      <c r="E242" s="14" t="s">
        <v>200</v>
      </c>
      <c r="F242" s="15"/>
      <c r="G242" s="16"/>
      <c r="H242" s="15"/>
      <c r="I242" s="16"/>
      <c r="J242" s="15"/>
      <c r="K242" s="16"/>
      <c r="L242" s="15"/>
      <c r="M242" s="63"/>
      <c r="N242" s="17"/>
      <c r="O242" s="16"/>
      <c r="P242" s="16"/>
      <c r="Q242" s="152">
        <f t="shared" si="12"/>
        <v>0</v>
      </c>
      <c r="R242" s="152">
        <f t="shared" si="13"/>
        <v>0</v>
      </c>
      <c r="S242" s="152">
        <f t="shared" si="14"/>
        <v>0</v>
      </c>
      <c r="T242" s="18">
        <f t="shared" si="15"/>
        <v>0</v>
      </c>
    </row>
    <row r="243" spans="2:20" x14ac:dyDescent="0.25">
      <c r="B243" s="117" t="s">
        <v>455</v>
      </c>
      <c r="C243" s="136" t="s">
        <v>456</v>
      </c>
      <c r="D243" s="14" t="s">
        <v>15</v>
      </c>
      <c r="E243" s="14" t="s">
        <v>200</v>
      </c>
      <c r="F243" s="15"/>
      <c r="G243" s="16"/>
      <c r="H243" s="15"/>
      <c r="I243" s="16"/>
      <c r="J243" s="15"/>
      <c r="K243" s="16"/>
      <c r="L243" s="15"/>
      <c r="M243" s="63"/>
      <c r="N243" s="17"/>
      <c r="O243" s="16"/>
      <c r="P243" s="16"/>
      <c r="Q243" s="152">
        <f t="shared" si="12"/>
        <v>0</v>
      </c>
      <c r="R243" s="152">
        <f t="shared" si="13"/>
        <v>0</v>
      </c>
      <c r="S243" s="152">
        <f t="shared" si="14"/>
        <v>0</v>
      </c>
      <c r="T243" s="18">
        <f t="shared" si="15"/>
        <v>0</v>
      </c>
    </row>
    <row r="244" spans="2:20" x14ac:dyDescent="0.25">
      <c r="B244" s="117" t="s">
        <v>457</v>
      </c>
      <c r="C244" s="136" t="s">
        <v>458</v>
      </c>
      <c r="D244" s="14" t="s">
        <v>15</v>
      </c>
      <c r="E244" s="14" t="s">
        <v>200</v>
      </c>
      <c r="F244" s="15"/>
      <c r="G244" s="16"/>
      <c r="H244" s="15"/>
      <c r="I244" s="16"/>
      <c r="J244" s="15"/>
      <c r="K244" s="16"/>
      <c r="L244" s="15"/>
      <c r="M244" s="63"/>
      <c r="N244" s="17"/>
      <c r="O244" s="16"/>
      <c r="P244" s="16"/>
      <c r="Q244" s="152">
        <f t="shared" si="12"/>
        <v>0</v>
      </c>
      <c r="R244" s="152">
        <f t="shared" si="13"/>
        <v>0</v>
      </c>
      <c r="S244" s="152">
        <f t="shared" si="14"/>
        <v>0</v>
      </c>
      <c r="T244" s="18">
        <f t="shared" si="15"/>
        <v>0</v>
      </c>
    </row>
    <row r="245" spans="2:20" x14ac:dyDescent="0.25">
      <c r="B245" s="117" t="s">
        <v>461</v>
      </c>
      <c r="C245" s="136" t="s">
        <v>462</v>
      </c>
      <c r="D245" s="14" t="s">
        <v>15</v>
      </c>
      <c r="E245" s="14" t="s">
        <v>21</v>
      </c>
      <c r="F245" s="15"/>
      <c r="G245" s="16"/>
      <c r="H245" s="15"/>
      <c r="I245" s="16"/>
      <c r="J245" s="15"/>
      <c r="K245" s="16"/>
      <c r="L245" s="15"/>
      <c r="M245" s="63"/>
      <c r="N245" s="17"/>
      <c r="O245" s="16"/>
      <c r="P245" s="16"/>
      <c r="Q245" s="152">
        <f t="shared" si="12"/>
        <v>0</v>
      </c>
      <c r="R245" s="152">
        <f t="shared" si="13"/>
        <v>0</v>
      </c>
      <c r="S245" s="152">
        <f t="shared" si="14"/>
        <v>0</v>
      </c>
      <c r="T245" s="18">
        <f t="shared" si="15"/>
        <v>0</v>
      </c>
    </row>
    <row r="246" spans="2:20" x14ac:dyDescent="0.25">
      <c r="B246" s="117" t="s">
        <v>463</v>
      </c>
      <c r="C246" s="136" t="s">
        <v>464</v>
      </c>
      <c r="D246" s="14" t="s">
        <v>15</v>
      </c>
      <c r="E246" s="14" t="s">
        <v>21</v>
      </c>
      <c r="F246" s="15"/>
      <c r="G246" s="16"/>
      <c r="H246" s="15"/>
      <c r="I246" s="16"/>
      <c r="J246" s="15"/>
      <c r="K246" s="16"/>
      <c r="L246" s="15"/>
      <c r="M246" s="63"/>
      <c r="N246" s="17"/>
      <c r="O246" s="16"/>
      <c r="P246" s="16"/>
      <c r="Q246" s="152">
        <f t="shared" si="12"/>
        <v>0</v>
      </c>
      <c r="R246" s="152">
        <f t="shared" si="13"/>
        <v>0</v>
      </c>
      <c r="S246" s="152">
        <f t="shared" si="14"/>
        <v>0</v>
      </c>
      <c r="T246" s="18">
        <f t="shared" si="15"/>
        <v>0</v>
      </c>
    </row>
    <row r="247" spans="2:20" x14ac:dyDescent="0.25">
      <c r="B247" s="117" t="s">
        <v>467</v>
      </c>
      <c r="C247" s="136" t="s">
        <v>468</v>
      </c>
      <c r="D247" s="14" t="s">
        <v>15</v>
      </c>
      <c r="E247" s="14" t="s">
        <v>200</v>
      </c>
      <c r="F247" s="15"/>
      <c r="G247" s="16"/>
      <c r="H247" s="15"/>
      <c r="I247" s="16"/>
      <c r="J247" s="15"/>
      <c r="K247" s="16"/>
      <c r="L247" s="15"/>
      <c r="M247" s="63"/>
      <c r="N247" s="17"/>
      <c r="O247" s="16"/>
      <c r="P247" s="16"/>
      <c r="Q247" s="152">
        <f t="shared" si="12"/>
        <v>0</v>
      </c>
      <c r="R247" s="152">
        <f t="shared" si="13"/>
        <v>0</v>
      </c>
      <c r="S247" s="152">
        <f t="shared" si="14"/>
        <v>0</v>
      </c>
      <c r="T247" s="18">
        <f t="shared" si="15"/>
        <v>0</v>
      </c>
    </row>
    <row r="248" spans="2:20" x14ac:dyDescent="0.25">
      <c r="B248" s="117" t="s">
        <v>955</v>
      </c>
      <c r="C248" s="136" t="s">
        <v>956</v>
      </c>
      <c r="D248" s="14" t="s">
        <v>941</v>
      </c>
      <c r="E248" s="14" t="s">
        <v>16</v>
      </c>
      <c r="F248" s="15"/>
      <c r="G248" s="16"/>
      <c r="H248" s="15"/>
      <c r="I248" s="16"/>
      <c r="J248" s="15"/>
      <c r="K248" s="16"/>
      <c r="L248" s="15"/>
      <c r="M248" s="63"/>
      <c r="N248" s="17"/>
      <c r="O248" s="16"/>
      <c r="P248" s="16"/>
      <c r="Q248" s="152">
        <f t="shared" si="12"/>
        <v>0</v>
      </c>
      <c r="R248" s="152">
        <f t="shared" si="13"/>
        <v>0</v>
      </c>
      <c r="S248" s="152">
        <f t="shared" si="14"/>
        <v>0</v>
      </c>
      <c r="T248" s="18">
        <f t="shared" si="15"/>
        <v>0</v>
      </c>
    </row>
    <row r="249" spans="2:20" x14ac:dyDescent="0.25">
      <c r="B249" s="117" t="s">
        <v>471</v>
      </c>
      <c r="C249" s="136" t="s">
        <v>472</v>
      </c>
      <c r="D249" s="14" t="s">
        <v>15</v>
      </c>
      <c r="E249" s="14" t="s">
        <v>16</v>
      </c>
      <c r="F249" s="15"/>
      <c r="G249" s="16"/>
      <c r="H249" s="15"/>
      <c r="I249" s="16"/>
      <c r="J249" s="15"/>
      <c r="K249" s="16"/>
      <c r="L249" s="15"/>
      <c r="M249" s="63"/>
      <c r="N249" s="17"/>
      <c r="O249" s="16"/>
      <c r="P249" s="16"/>
      <c r="Q249" s="152">
        <f t="shared" si="12"/>
        <v>0</v>
      </c>
      <c r="R249" s="152">
        <f t="shared" si="13"/>
        <v>0</v>
      </c>
      <c r="S249" s="152">
        <f t="shared" si="14"/>
        <v>0</v>
      </c>
      <c r="T249" s="18">
        <f t="shared" si="15"/>
        <v>0</v>
      </c>
    </row>
    <row r="250" spans="2:20" x14ac:dyDescent="0.25">
      <c r="B250" s="117" t="s">
        <v>473</v>
      </c>
      <c r="C250" s="136" t="s">
        <v>669</v>
      </c>
      <c r="D250" s="14" t="s">
        <v>755</v>
      </c>
      <c r="E250" s="14" t="s">
        <v>475</v>
      </c>
      <c r="F250" s="15"/>
      <c r="G250" s="16"/>
      <c r="H250" s="15"/>
      <c r="I250" s="16"/>
      <c r="J250" s="15"/>
      <c r="K250" s="16"/>
      <c r="L250" s="15"/>
      <c r="M250" s="63"/>
      <c r="N250" s="17"/>
      <c r="O250" s="16"/>
      <c r="P250" s="16"/>
      <c r="Q250" s="152">
        <f t="shared" si="12"/>
        <v>0</v>
      </c>
      <c r="R250" s="152">
        <f t="shared" si="13"/>
        <v>0</v>
      </c>
      <c r="S250" s="152">
        <f t="shared" si="14"/>
        <v>0</v>
      </c>
      <c r="T250" s="18">
        <f t="shared" si="15"/>
        <v>0</v>
      </c>
    </row>
    <row r="251" spans="2:20" x14ac:dyDescent="0.25">
      <c r="B251" s="117" t="s">
        <v>476</v>
      </c>
      <c r="C251" s="136" t="s">
        <v>477</v>
      </c>
      <c r="D251" s="14" t="s">
        <v>15</v>
      </c>
      <c r="E251" s="14" t="s">
        <v>200</v>
      </c>
      <c r="F251" s="15">
        <v>46058</v>
      </c>
      <c r="G251" s="16">
        <v>0.5</v>
      </c>
      <c r="H251" s="15"/>
      <c r="I251" s="16"/>
      <c r="J251" s="15"/>
      <c r="K251" s="16"/>
      <c r="L251" s="15"/>
      <c r="M251" s="63"/>
      <c r="N251" s="17"/>
      <c r="O251" s="16"/>
      <c r="P251" s="16"/>
      <c r="Q251" s="152">
        <f t="shared" si="12"/>
        <v>0.5</v>
      </c>
      <c r="R251" s="152">
        <f t="shared" si="13"/>
        <v>0.5</v>
      </c>
      <c r="S251" s="152">
        <f t="shared" si="14"/>
        <v>0.5</v>
      </c>
      <c r="T251" s="18">
        <f t="shared" si="15"/>
        <v>0.5</v>
      </c>
    </row>
    <row r="252" spans="2:20" x14ac:dyDescent="0.25">
      <c r="B252" s="117" t="s">
        <v>957</v>
      </c>
      <c r="C252" s="136" t="s">
        <v>958</v>
      </c>
      <c r="D252" s="14" t="s">
        <v>941</v>
      </c>
      <c r="E252" s="14" t="s">
        <v>16</v>
      </c>
      <c r="F252" s="15"/>
      <c r="G252" s="16"/>
      <c r="H252" s="15"/>
      <c r="I252" s="16"/>
      <c r="J252" s="15"/>
      <c r="K252" s="16"/>
      <c r="L252" s="15"/>
      <c r="M252" s="63"/>
      <c r="N252" s="17"/>
      <c r="O252" s="16"/>
      <c r="P252" s="16"/>
      <c r="Q252" s="152">
        <f t="shared" si="12"/>
        <v>0</v>
      </c>
      <c r="R252" s="152">
        <f t="shared" si="13"/>
        <v>0</v>
      </c>
      <c r="S252" s="152">
        <f t="shared" si="14"/>
        <v>0</v>
      </c>
      <c r="T252" s="18">
        <f t="shared" si="15"/>
        <v>0</v>
      </c>
    </row>
    <row r="253" spans="2:20" x14ac:dyDescent="0.25">
      <c r="B253" s="117" t="s">
        <v>932</v>
      </c>
      <c r="C253" s="136" t="s">
        <v>933</v>
      </c>
      <c r="D253" s="14" t="s">
        <v>15</v>
      </c>
      <c r="E253" s="14" t="s">
        <v>56</v>
      </c>
      <c r="F253" s="15">
        <v>46072</v>
      </c>
      <c r="G253" s="16">
        <f>1.47/11.2285*1.1845</f>
        <v>0.15507102462483857</v>
      </c>
      <c r="H253" s="15"/>
      <c r="I253" s="16"/>
      <c r="J253" s="15"/>
      <c r="K253" s="16"/>
      <c r="L253" s="15"/>
      <c r="M253" s="63"/>
      <c r="N253" s="17"/>
      <c r="O253" s="16"/>
      <c r="P253" s="16"/>
      <c r="Q253" s="152">
        <f t="shared" si="12"/>
        <v>0.15507102462483857</v>
      </c>
      <c r="R253" s="152">
        <f t="shared" si="13"/>
        <v>0.15507102462483857</v>
      </c>
      <c r="S253" s="152">
        <f t="shared" si="14"/>
        <v>0.15507102462483857</v>
      </c>
      <c r="T253" s="18">
        <f t="shared" si="15"/>
        <v>0.15507102462483857</v>
      </c>
    </row>
    <row r="254" spans="2:20" x14ac:dyDescent="0.25">
      <c r="B254" s="117" t="s">
        <v>892</v>
      </c>
      <c r="C254" s="136" t="s">
        <v>893</v>
      </c>
      <c r="D254" s="14" t="s">
        <v>24</v>
      </c>
      <c r="E254" s="14" t="s">
        <v>16</v>
      </c>
      <c r="F254" s="15"/>
      <c r="G254" s="16"/>
      <c r="H254" s="15"/>
      <c r="I254" s="16"/>
      <c r="J254" s="15"/>
      <c r="K254" s="16"/>
      <c r="L254" s="15"/>
      <c r="M254" s="63"/>
      <c r="N254" s="17"/>
      <c r="O254" s="16"/>
      <c r="P254" s="16"/>
      <c r="Q254" s="152">
        <f t="shared" si="12"/>
        <v>0</v>
      </c>
      <c r="R254" s="152">
        <f t="shared" si="13"/>
        <v>0</v>
      </c>
      <c r="S254" s="152">
        <f t="shared" si="14"/>
        <v>0</v>
      </c>
      <c r="T254" s="18">
        <f t="shared" si="15"/>
        <v>0</v>
      </c>
    </row>
    <row r="255" spans="2:20" x14ac:dyDescent="0.25">
      <c r="B255" s="117" t="s">
        <v>480</v>
      </c>
      <c r="C255" s="136" t="s">
        <v>481</v>
      </c>
      <c r="D255" s="14" t="s">
        <v>237</v>
      </c>
      <c r="E255" s="14" t="s">
        <v>16</v>
      </c>
      <c r="F255" s="15"/>
      <c r="G255" s="16"/>
      <c r="H255" s="15"/>
      <c r="I255" s="16"/>
      <c r="J255" s="15"/>
      <c r="K255" s="16"/>
      <c r="L255" s="15"/>
      <c r="M255" s="63"/>
      <c r="N255" s="17"/>
      <c r="O255" s="16"/>
      <c r="P255" s="16"/>
      <c r="Q255" s="152">
        <f t="shared" si="12"/>
        <v>0</v>
      </c>
      <c r="R255" s="152">
        <f t="shared" si="13"/>
        <v>0</v>
      </c>
      <c r="S255" s="152">
        <f t="shared" si="14"/>
        <v>0</v>
      </c>
      <c r="T255" s="18">
        <f t="shared" si="15"/>
        <v>0</v>
      </c>
    </row>
    <row r="256" spans="2:20" x14ac:dyDescent="0.25">
      <c r="B256" s="117" t="s">
        <v>482</v>
      </c>
      <c r="C256" s="136" t="s">
        <v>483</v>
      </c>
      <c r="D256" s="14" t="s">
        <v>15</v>
      </c>
      <c r="E256" s="14" t="s">
        <v>21</v>
      </c>
      <c r="F256" s="15"/>
      <c r="G256" s="16"/>
      <c r="H256" s="15"/>
      <c r="I256" s="16"/>
      <c r="J256" s="15"/>
      <c r="K256" s="16"/>
      <c r="L256" s="15"/>
      <c r="M256" s="63"/>
      <c r="N256" s="17"/>
      <c r="O256" s="16"/>
      <c r="P256" s="16"/>
      <c r="Q256" s="152">
        <f t="shared" si="12"/>
        <v>0</v>
      </c>
      <c r="R256" s="152">
        <f t="shared" si="13"/>
        <v>0</v>
      </c>
      <c r="S256" s="152">
        <f t="shared" si="14"/>
        <v>0</v>
      </c>
      <c r="T256" s="18">
        <f t="shared" si="15"/>
        <v>0</v>
      </c>
    </row>
    <row r="257" spans="2:20" x14ac:dyDescent="0.25">
      <c r="B257" s="117" t="s">
        <v>484</v>
      </c>
      <c r="C257" s="136" t="s">
        <v>485</v>
      </c>
      <c r="D257" s="14" t="s">
        <v>15</v>
      </c>
      <c r="E257" s="14" t="s">
        <v>16</v>
      </c>
      <c r="F257" s="15">
        <v>46055</v>
      </c>
      <c r="G257" s="16">
        <v>0.15</v>
      </c>
      <c r="H257" s="15"/>
      <c r="I257" s="16"/>
      <c r="J257" s="15"/>
      <c r="K257" s="16"/>
      <c r="L257" s="15"/>
      <c r="M257" s="63"/>
      <c r="N257" s="17"/>
      <c r="O257" s="16"/>
      <c r="P257" s="16"/>
      <c r="Q257" s="152">
        <f t="shared" si="12"/>
        <v>0.15</v>
      </c>
      <c r="R257" s="152">
        <f t="shared" si="13"/>
        <v>0.15</v>
      </c>
      <c r="S257" s="152">
        <f t="shared" si="14"/>
        <v>0.15</v>
      </c>
      <c r="T257" s="18">
        <f t="shared" si="15"/>
        <v>0.15</v>
      </c>
    </row>
    <row r="258" spans="2:20" x14ac:dyDescent="0.25">
      <c r="B258" s="117" t="s">
        <v>776</v>
      </c>
      <c r="C258" s="136" t="s">
        <v>489</v>
      </c>
      <c r="D258" s="14" t="s">
        <v>24</v>
      </c>
      <c r="E258" s="14" t="s">
        <v>16</v>
      </c>
      <c r="F258" s="15">
        <v>46022</v>
      </c>
      <c r="G258" s="16">
        <v>0.85</v>
      </c>
      <c r="H258" s="15"/>
      <c r="I258" s="16"/>
      <c r="J258" s="15"/>
      <c r="K258" s="16"/>
      <c r="L258" s="15"/>
      <c r="M258" s="63"/>
      <c r="N258" s="17"/>
      <c r="O258" s="16"/>
      <c r="P258" s="16"/>
      <c r="Q258" s="152">
        <f t="shared" si="12"/>
        <v>0.85</v>
      </c>
      <c r="R258" s="152">
        <f t="shared" si="13"/>
        <v>0.85</v>
      </c>
      <c r="S258" s="152">
        <f t="shared" si="14"/>
        <v>0.85</v>
      </c>
      <c r="T258" s="18">
        <f t="shared" si="15"/>
        <v>0.85</v>
      </c>
    </row>
    <row r="259" spans="2:20" x14ac:dyDescent="0.25">
      <c r="B259" s="117" t="s">
        <v>904</v>
      </c>
      <c r="C259" s="136" t="s">
        <v>905</v>
      </c>
      <c r="D259" s="14" t="s">
        <v>15</v>
      </c>
      <c r="E259" s="14" t="s">
        <v>200</v>
      </c>
      <c r="F259" s="15"/>
      <c r="G259" s="16"/>
      <c r="H259" s="15"/>
      <c r="I259" s="16"/>
      <c r="J259" s="15"/>
      <c r="K259" s="16"/>
      <c r="L259" s="15"/>
      <c r="M259" s="63"/>
      <c r="N259" s="17"/>
      <c r="O259" s="16"/>
      <c r="P259" s="16"/>
      <c r="Q259" s="152">
        <f t="shared" si="12"/>
        <v>0</v>
      </c>
      <c r="R259" s="152">
        <f t="shared" si="13"/>
        <v>0</v>
      </c>
      <c r="S259" s="152">
        <f t="shared" si="14"/>
        <v>0</v>
      </c>
      <c r="T259" s="18">
        <f t="shared" si="15"/>
        <v>0</v>
      </c>
    </row>
    <row r="260" spans="2:20" x14ac:dyDescent="0.25">
      <c r="B260" s="117" t="s">
        <v>492</v>
      </c>
      <c r="C260" s="136" t="s">
        <v>493</v>
      </c>
      <c r="D260" s="14" t="s">
        <v>15</v>
      </c>
      <c r="E260" s="14" t="s">
        <v>21</v>
      </c>
      <c r="F260" s="15"/>
      <c r="G260" s="16"/>
      <c r="H260" s="15"/>
      <c r="I260" s="16"/>
      <c r="J260" s="15"/>
      <c r="K260" s="16"/>
      <c r="L260" s="15"/>
      <c r="M260" s="63"/>
      <c r="N260" s="17"/>
      <c r="O260" s="16"/>
      <c r="P260" s="16"/>
      <c r="Q260" s="152">
        <f t="shared" si="12"/>
        <v>0</v>
      </c>
      <c r="R260" s="152">
        <f t="shared" si="13"/>
        <v>0</v>
      </c>
      <c r="S260" s="152">
        <f t="shared" si="14"/>
        <v>0</v>
      </c>
      <c r="T260" s="18">
        <f t="shared" si="15"/>
        <v>0</v>
      </c>
    </row>
    <row r="261" spans="2:20" x14ac:dyDescent="0.25">
      <c r="B261" s="117" t="s">
        <v>494</v>
      </c>
      <c r="C261" s="136" t="s">
        <v>495</v>
      </c>
      <c r="D261" s="14" t="s">
        <v>27</v>
      </c>
      <c r="E261" s="14" t="s">
        <v>16</v>
      </c>
      <c r="F261" s="15"/>
      <c r="G261" s="16"/>
      <c r="H261" s="15"/>
      <c r="I261" s="16"/>
      <c r="J261" s="15"/>
      <c r="K261" s="16"/>
      <c r="L261" s="15"/>
      <c r="M261" s="63"/>
      <c r="N261" s="17"/>
      <c r="O261" s="16"/>
      <c r="P261" s="16"/>
      <c r="Q261" s="152">
        <f t="shared" si="12"/>
        <v>0</v>
      </c>
      <c r="R261" s="152">
        <f t="shared" si="13"/>
        <v>0</v>
      </c>
      <c r="S261" s="152">
        <f t="shared" si="14"/>
        <v>0</v>
      </c>
      <c r="T261" s="18">
        <f t="shared" si="15"/>
        <v>0</v>
      </c>
    </row>
    <row r="262" spans="2:20" x14ac:dyDescent="0.25">
      <c r="B262" s="117" t="s">
        <v>496</v>
      </c>
      <c r="C262" s="136" t="s">
        <v>497</v>
      </c>
      <c r="D262" s="14" t="s">
        <v>27</v>
      </c>
      <c r="E262" s="14" t="s">
        <v>16</v>
      </c>
      <c r="F262" s="15"/>
      <c r="G262" s="16"/>
      <c r="H262" s="15"/>
      <c r="I262" s="16"/>
      <c r="J262" s="15"/>
      <c r="K262" s="16"/>
      <c r="L262" s="15"/>
      <c r="M262" s="63"/>
      <c r="N262" s="17"/>
      <c r="O262" s="16"/>
      <c r="P262" s="16"/>
      <c r="Q262" s="152">
        <f t="shared" si="12"/>
        <v>0</v>
      </c>
      <c r="R262" s="152">
        <f t="shared" si="13"/>
        <v>0</v>
      </c>
      <c r="S262" s="152">
        <f t="shared" si="14"/>
        <v>0</v>
      </c>
      <c r="T262" s="18">
        <f t="shared" si="15"/>
        <v>0</v>
      </c>
    </row>
    <row r="263" spans="2:20" x14ac:dyDescent="0.25">
      <c r="B263" s="117" t="s">
        <v>622</v>
      </c>
      <c r="C263" s="136" t="s">
        <v>499</v>
      </c>
      <c r="D263" s="14" t="s">
        <v>15</v>
      </c>
      <c r="E263" s="14" t="s">
        <v>16</v>
      </c>
      <c r="F263" s="15"/>
      <c r="G263" s="16"/>
      <c r="H263" s="15"/>
      <c r="I263" s="16"/>
      <c r="J263" s="15"/>
      <c r="K263" s="16"/>
      <c r="L263" s="15"/>
      <c r="M263" s="63"/>
      <c r="N263" s="17"/>
      <c r="O263" s="16"/>
      <c r="P263" s="16"/>
      <c r="Q263" s="152">
        <f t="shared" si="12"/>
        <v>0</v>
      </c>
      <c r="R263" s="152">
        <f t="shared" si="13"/>
        <v>0</v>
      </c>
      <c r="S263" s="152">
        <f t="shared" si="14"/>
        <v>0</v>
      </c>
      <c r="T263" s="18">
        <f t="shared" si="15"/>
        <v>0</v>
      </c>
    </row>
    <row r="264" spans="2:20" x14ac:dyDescent="0.25">
      <c r="B264" s="117" t="s">
        <v>959</v>
      </c>
      <c r="C264" s="136" t="s">
        <v>960</v>
      </c>
      <c r="D264" s="14" t="s">
        <v>941</v>
      </c>
      <c r="E264" s="14" t="s">
        <v>16</v>
      </c>
      <c r="F264" s="15"/>
      <c r="G264" s="16"/>
      <c r="H264" s="15"/>
      <c r="I264" s="16"/>
      <c r="J264" s="15"/>
      <c r="K264" s="16"/>
      <c r="L264" s="15"/>
      <c r="M264" s="63"/>
      <c r="N264" s="17"/>
      <c r="O264" s="16"/>
      <c r="P264" s="16"/>
      <c r="Q264" s="152">
        <f t="shared" si="12"/>
        <v>0</v>
      </c>
      <c r="R264" s="152">
        <f t="shared" si="13"/>
        <v>0</v>
      </c>
      <c r="S264" s="152">
        <f t="shared" si="14"/>
        <v>0</v>
      </c>
      <c r="T264" s="18">
        <f t="shared" si="15"/>
        <v>0</v>
      </c>
    </row>
    <row r="265" spans="2:20" x14ac:dyDescent="0.25">
      <c r="B265" s="117" t="s">
        <v>504</v>
      </c>
      <c r="C265" s="136" t="s">
        <v>505</v>
      </c>
      <c r="D265" s="14" t="s">
        <v>15</v>
      </c>
      <c r="E265" s="14" t="s">
        <v>16</v>
      </c>
      <c r="F265" s="15"/>
      <c r="G265" s="16"/>
      <c r="H265" s="15"/>
      <c r="I265" s="16"/>
      <c r="J265" s="15"/>
      <c r="K265" s="16"/>
      <c r="L265" s="15"/>
      <c r="M265" s="63"/>
      <c r="N265" s="17"/>
      <c r="O265" s="16"/>
      <c r="P265" s="16"/>
      <c r="Q265" s="152">
        <f t="shared" si="12"/>
        <v>0</v>
      </c>
      <c r="R265" s="152">
        <f t="shared" si="13"/>
        <v>0</v>
      </c>
      <c r="S265" s="152">
        <f t="shared" si="14"/>
        <v>0</v>
      </c>
      <c r="T265" s="18">
        <f t="shared" si="15"/>
        <v>0</v>
      </c>
    </row>
    <row r="266" spans="2:20" x14ac:dyDescent="0.25">
      <c r="B266" s="117" t="s">
        <v>692</v>
      </c>
      <c r="C266" s="136" t="s">
        <v>693</v>
      </c>
      <c r="D266" s="14" t="s">
        <v>15</v>
      </c>
      <c r="E266" s="14" t="s">
        <v>16</v>
      </c>
      <c r="F266" s="15"/>
      <c r="G266" s="16"/>
      <c r="H266" s="15"/>
      <c r="I266" s="16"/>
      <c r="J266" s="15"/>
      <c r="K266" s="16"/>
      <c r="L266" s="15"/>
      <c r="M266" s="63"/>
      <c r="N266" s="17"/>
      <c r="O266" s="16"/>
      <c r="P266" s="143"/>
      <c r="Q266" s="152">
        <f t="shared" si="12"/>
        <v>0</v>
      </c>
      <c r="R266" s="152">
        <f t="shared" si="13"/>
        <v>0</v>
      </c>
      <c r="S266" s="152">
        <f t="shared" si="14"/>
        <v>0</v>
      </c>
      <c r="T266" s="18">
        <f t="shared" si="15"/>
        <v>0</v>
      </c>
    </row>
    <row r="267" spans="2:20" x14ac:dyDescent="0.25">
      <c r="B267" s="117" t="s">
        <v>510</v>
      </c>
      <c r="C267" s="136" t="s">
        <v>511</v>
      </c>
      <c r="D267" s="14" t="s">
        <v>15</v>
      </c>
      <c r="E267" s="14" t="s">
        <v>761</v>
      </c>
      <c r="F267" s="15"/>
      <c r="G267" s="16"/>
      <c r="H267" s="15"/>
      <c r="I267" s="16"/>
      <c r="J267" s="15"/>
      <c r="K267" s="16"/>
      <c r="L267" s="15"/>
      <c r="M267" s="63"/>
      <c r="N267" s="17"/>
      <c r="O267" s="16"/>
      <c r="P267" s="16"/>
      <c r="Q267" s="152">
        <f t="shared" si="12"/>
        <v>0</v>
      </c>
      <c r="R267" s="152">
        <f t="shared" si="13"/>
        <v>0</v>
      </c>
      <c r="S267" s="152">
        <f t="shared" si="14"/>
        <v>0</v>
      </c>
      <c r="T267" s="18">
        <f t="shared" si="15"/>
        <v>0</v>
      </c>
    </row>
    <row r="268" spans="2:20" x14ac:dyDescent="0.25">
      <c r="B268" s="117" t="s">
        <v>794</v>
      </c>
      <c r="C268" s="136" t="s">
        <v>795</v>
      </c>
      <c r="D268" s="14" t="s">
        <v>15</v>
      </c>
      <c r="E268" s="14" t="s">
        <v>16</v>
      </c>
      <c r="F268" s="15"/>
      <c r="G268" s="16"/>
      <c r="H268" s="15"/>
      <c r="I268" s="16"/>
      <c r="J268" s="15"/>
      <c r="K268" s="16"/>
      <c r="L268" s="15"/>
      <c r="M268" s="63"/>
      <c r="N268" s="17"/>
      <c r="O268" s="16"/>
      <c r="P268" s="143"/>
      <c r="Q268" s="152">
        <f t="shared" si="12"/>
        <v>0</v>
      </c>
      <c r="R268" s="152">
        <f t="shared" si="13"/>
        <v>0</v>
      </c>
      <c r="S268" s="152">
        <f t="shared" si="14"/>
        <v>0</v>
      </c>
      <c r="T268" s="18">
        <f t="shared" si="15"/>
        <v>0</v>
      </c>
    </row>
    <row r="269" spans="2:20" x14ac:dyDescent="0.25">
      <c r="B269" s="117" t="s">
        <v>512</v>
      </c>
      <c r="C269" s="136" t="s">
        <v>513</v>
      </c>
      <c r="D269" s="14" t="s">
        <v>24</v>
      </c>
      <c r="E269" s="14" t="s">
        <v>16</v>
      </c>
      <c r="F269" s="15"/>
      <c r="G269" s="16"/>
      <c r="H269" s="15"/>
      <c r="I269" s="16"/>
      <c r="J269" s="15"/>
      <c r="K269" s="16"/>
      <c r="L269" s="15"/>
      <c r="M269" s="63"/>
      <c r="N269" s="17"/>
      <c r="O269" s="16"/>
      <c r="P269" s="16"/>
      <c r="Q269" s="152">
        <f t="shared" ref="Q269:Q288" si="16">IF(F269&lt;=Exp26Q1,G269,0)+IF(H269&lt;=Exp26Q1,I269,0)+IF(J269&lt;=Exp26Q1,K269,0)+IF(L269&lt;=Exp26Q1,M269,0)+IF(N269&lt;=Exp26Q1,O269,0)</f>
        <v>0</v>
      </c>
      <c r="R269" s="152">
        <f t="shared" ref="R269:R288" si="17">IF(F269&lt;=Exp26H1,G269,0)+IF(H269&lt;=Exp26H1,I269,0)+IF(J269&lt;=Exp26H1,K269,0)+IF(L269&lt;=Exp26H1,M269,0)+IF(N269&lt;=Exp26H1,O269,0)</f>
        <v>0</v>
      </c>
      <c r="S269" s="152">
        <f t="shared" ref="S269:S288" si="18">IF(F269&lt;=Exp26Q3,G269,0)+IF(H269&lt;=Exp26Q3,I269,0)+IF(J269&lt;=Exp26Q3,K269,0)+IF(L269&lt;=Exp26Q3,M269,0)+IF(N269&lt;=Exp26Q3,O269,0)</f>
        <v>0</v>
      </c>
      <c r="T269" s="18">
        <f t="shared" si="15"/>
        <v>0</v>
      </c>
    </row>
    <row r="270" spans="2:20" x14ac:dyDescent="0.25">
      <c r="B270" s="117" t="s">
        <v>514</v>
      </c>
      <c r="C270" s="136" t="s">
        <v>515</v>
      </c>
      <c r="D270" s="14" t="s">
        <v>24</v>
      </c>
      <c r="E270" s="14" t="s">
        <v>16</v>
      </c>
      <c r="F270" s="15"/>
      <c r="G270" s="16"/>
      <c r="H270" s="15"/>
      <c r="I270" s="16"/>
      <c r="J270" s="15"/>
      <c r="K270" s="16"/>
      <c r="L270" s="15"/>
      <c r="M270" s="63"/>
      <c r="N270" s="17"/>
      <c r="O270" s="16"/>
      <c r="P270" s="16"/>
      <c r="Q270" s="152">
        <f t="shared" si="16"/>
        <v>0</v>
      </c>
      <c r="R270" s="152">
        <f t="shared" si="17"/>
        <v>0</v>
      </c>
      <c r="S270" s="152">
        <f t="shared" si="18"/>
        <v>0</v>
      </c>
      <c r="T270" s="18">
        <f t="shared" si="15"/>
        <v>0</v>
      </c>
    </row>
    <row r="271" spans="2:20" x14ac:dyDescent="0.25">
      <c r="B271" s="117" t="s">
        <v>908</v>
      </c>
      <c r="C271" s="136" t="s">
        <v>328</v>
      </c>
      <c r="D271" s="14" t="s">
        <v>15</v>
      </c>
      <c r="E271" s="14" t="s">
        <v>16</v>
      </c>
      <c r="F271" s="15"/>
      <c r="G271" s="16"/>
      <c r="H271" s="15"/>
      <c r="I271" s="16"/>
      <c r="J271" s="15"/>
      <c r="K271" s="16"/>
      <c r="L271" s="15"/>
      <c r="M271" s="63"/>
      <c r="N271" s="17"/>
      <c r="O271" s="16"/>
      <c r="P271" s="16"/>
      <c r="Q271" s="152">
        <f t="shared" si="16"/>
        <v>0</v>
      </c>
      <c r="R271" s="152">
        <f t="shared" si="17"/>
        <v>0</v>
      </c>
      <c r="S271" s="152">
        <f t="shared" si="18"/>
        <v>0</v>
      </c>
      <c r="T271" s="18">
        <f t="shared" ref="T271:T287" si="19">G271+I271+K271+M271+O271</f>
        <v>0</v>
      </c>
    </row>
    <row r="272" spans="2:20" x14ac:dyDescent="0.25">
      <c r="B272" s="117" t="s">
        <v>925</v>
      </c>
      <c r="C272" s="136" t="s">
        <v>926</v>
      </c>
      <c r="D272" s="14" t="s">
        <v>755</v>
      </c>
      <c r="E272" s="14" t="s">
        <v>475</v>
      </c>
      <c r="F272" s="15">
        <v>46056</v>
      </c>
      <c r="G272" s="16">
        <v>1.2090000000000001</v>
      </c>
      <c r="H272" s="15"/>
      <c r="I272" s="16"/>
      <c r="J272" s="15"/>
      <c r="K272" s="16"/>
      <c r="L272" s="15"/>
      <c r="M272" s="63"/>
      <c r="N272" s="17"/>
      <c r="O272" s="16"/>
      <c r="P272" s="16"/>
      <c r="Q272" s="152">
        <f t="shared" si="16"/>
        <v>1.2090000000000001</v>
      </c>
      <c r="R272" s="152">
        <f t="shared" si="17"/>
        <v>1.2090000000000001</v>
      </c>
      <c r="S272" s="152">
        <f t="shared" si="18"/>
        <v>1.2090000000000001</v>
      </c>
      <c r="T272" s="18">
        <f t="shared" si="19"/>
        <v>1.2090000000000001</v>
      </c>
    </row>
    <row r="273" spans="2:20" x14ac:dyDescent="0.25">
      <c r="B273" s="117" t="s">
        <v>968</v>
      </c>
      <c r="C273" s="136" t="s">
        <v>922</v>
      </c>
      <c r="D273" s="14" t="s">
        <v>755</v>
      </c>
      <c r="E273" s="14" t="s">
        <v>475</v>
      </c>
      <c r="F273" s="15"/>
      <c r="G273" s="16"/>
      <c r="H273" s="15"/>
      <c r="I273" s="16"/>
      <c r="J273" s="15"/>
      <c r="K273" s="16"/>
      <c r="L273" s="15"/>
      <c r="M273" s="63"/>
      <c r="N273" s="17"/>
      <c r="O273" s="16"/>
      <c r="P273" s="16"/>
      <c r="Q273" s="152">
        <f t="shared" si="16"/>
        <v>0</v>
      </c>
      <c r="R273" s="152">
        <f t="shared" si="17"/>
        <v>0</v>
      </c>
      <c r="S273" s="152">
        <f t="shared" si="18"/>
        <v>0</v>
      </c>
      <c r="T273" s="18">
        <f>G273+I273+K273+M273+O273</f>
        <v>0</v>
      </c>
    </row>
    <row r="274" spans="2:20" x14ac:dyDescent="0.25">
      <c r="B274" s="117" t="s">
        <v>516</v>
      </c>
      <c r="C274" s="136" t="s">
        <v>517</v>
      </c>
      <c r="D274" s="14" t="s">
        <v>24</v>
      </c>
      <c r="E274" s="14" t="s">
        <v>16</v>
      </c>
      <c r="F274" s="15"/>
      <c r="G274" s="16"/>
      <c r="H274" s="15"/>
      <c r="I274" s="16"/>
      <c r="J274" s="15"/>
      <c r="K274" s="16"/>
      <c r="L274" s="15"/>
      <c r="M274" s="63"/>
      <c r="N274" s="17"/>
      <c r="O274" s="16"/>
      <c r="P274" s="16"/>
      <c r="Q274" s="152">
        <f t="shared" si="16"/>
        <v>0</v>
      </c>
      <c r="R274" s="152">
        <f t="shared" si="17"/>
        <v>0</v>
      </c>
      <c r="S274" s="152">
        <f t="shared" si="18"/>
        <v>0</v>
      </c>
      <c r="T274" s="18">
        <f t="shared" si="19"/>
        <v>0</v>
      </c>
    </row>
    <row r="275" spans="2:20" x14ac:dyDescent="0.25">
      <c r="B275" s="117" t="s">
        <v>727</v>
      </c>
      <c r="C275" s="136" t="s">
        <v>728</v>
      </c>
      <c r="D275" s="14" t="s">
        <v>24</v>
      </c>
      <c r="E275" s="14" t="s">
        <v>16</v>
      </c>
      <c r="F275" s="15"/>
      <c r="G275" s="16"/>
      <c r="H275" s="15"/>
      <c r="I275" s="16"/>
      <c r="J275" s="15"/>
      <c r="K275" s="16"/>
      <c r="L275" s="15"/>
      <c r="M275" s="63"/>
      <c r="N275" s="17"/>
      <c r="O275" s="16"/>
      <c r="P275" s="16"/>
      <c r="Q275" s="152">
        <f t="shared" si="16"/>
        <v>0</v>
      </c>
      <c r="R275" s="152">
        <f t="shared" si="17"/>
        <v>0</v>
      </c>
      <c r="S275" s="152">
        <f t="shared" si="18"/>
        <v>0</v>
      </c>
      <c r="T275" s="18">
        <f t="shared" si="19"/>
        <v>0</v>
      </c>
    </row>
    <row r="276" spans="2:20" x14ac:dyDescent="0.25">
      <c r="B276" s="117" t="s">
        <v>742</v>
      </c>
      <c r="C276" s="136" t="s">
        <v>743</v>
      </c>
      <c r="D276" s="14" t="s">
        <v>15</v>
      </c>
      <c r="E276" s="14" t="s">
        <v>16</v>
      </c>
      <c r="F276" s="15"/>
      <c r="G276" s="16"/>
      <c r="H276" s="15"/>
      <c r="I276" s="16"/>
      <c r="J276" s="15"/>
      <c r="K276" s="16"/>
      <c r="L276" s="15"/>
      <c r="M276" s="63"/>
      <c r="N276" s="17"/>
      <c r="O276" s="16"/>
      <c r="P276" s="16"/>
      <c r="Q276" s="152">
        <f t="shared" si="16"/>
        <v>0</v>
      </c>
      <c r="R276" s="152">
        <f t="shared" si="17"/>
        <v>0</v>
      </c>
      <c r="S276" s="152">
        <f t="shared" si="18"/>
        <v>0</v>
      </c>
      <c r="T276" s="18">
        <f t="shared" si="19"/>
        <v>0</v>
      </c>
    </row>
    <row r="277" spans="2:20" x14ac:dyDescent="0.25">
      <c r="B277" s="117" t="s">
        <v>520</v>
      </c>
      <c r="C277" s="136" t="s">
        <v>521</v>
      </c>
      <c r="D277" s="14" t="s">
        <v>24</v>
      </c>
      <c r="E277" s="14" t="s">
        <v>16</v>
      </c>
      <c r="F277" s="15"/>
      <c r="G277" s="16"/>
      <c r="H277" s="15"/>
      <c r="I277" s="16"/>
      <c r="J277" s="15"/>
      <c r="K277" s="16"/>
      <c r="L277" s="15"/>
      <c r="M277" s="63"/>
      <c r="N277" s="17"/>
      <c r="O277" s="16"/>
      <c r="P277" s="16"/>
      <c r="Q277" s="152">
        <f t="shared" si="16"/>
        <v>0</v>
      </c>
      <c r="R277" s="152">
        <f t="shared" si="17"/>
        <v>0</v>
      </c>
      <c r="S277" s="152">
        <f t="shared" si="18"/>
        <v>0</v>
      </c>
      <c r="T277" s="18">
        <f t="shared" si="19"/>
        <v>0</v>
      </c>
    </row>
    <row r="278" spans="2:20" x14ac:dyDescent="0.25">
      <c r="B278" s="117" t="s">
        <v>526</v>
      </c>
      <c r="C278" s="136" t="s">
        <v>527</v>
      </c>
      <c r="D278" s="14" t="s">
        <v>15</v>
      </c>
      <c r="E278" s="14" t="s">
        <v>761</v>
      </c>
      <c r="F278" s="15"/>
      <c r="G278" s="16"/>
      <c r="H278" s="15"/>
      <c r="I278" s="16"/>
      <c r="J278" s="15"/>
      <c r="K278" s="16"/>
      <c r="L278" s="15"/>
      <c r="M278" s="63"/>
      <c r="N278" s="17"/>
      <c r="O278" s="16"/>
      <c r="P278" s="16"/>
      <c r="Q278" s="152">
        <f t="shared" si="16"/>
        <v>0</v>
      </c>
      <c r="R278" s="152">
        <f t="shared" si="17"/>
        <v>0</v>
      </c>
      <c r="S278" s="152">
        <f t="shared" si="18"/>
        <v>0</v>
      </c>
      <c r="T278" s="18">
        <f t="shared" si="19"/>
        <v>0</v>
      </c>
    </row>
    <row r="279" spans="2:20" x14ac:dyDescent="0.25">
      <c r="B279" s="117" t="s">
        <v>528</v>
      </c>
      <c r="C279" s="136" t="s">
        <v>529</v>
      </c>
      <c r="D279" s="14" t="s">
        <v>15</v>
      </c>
      <c r="E279" s="14" t="s">
        <v>16</v>
      </c>
      <c r="F279" s="15"/>
      <c r="G279" s="16"/>
      <c r="H279" s="15"/>
      <c r="I279" s="16"/>
      <c r="J279" s="15"/>
      <c r="K279" s="16"/>
      <c r="L279" s="15"/>
      <c r="M279" s="63"/>
      <c r="N279" s="17"/>
      <c r="O279" s="16"/>
      <c r="P279" s="16"/>
      <c r="Q279" s="152">
        <f t="shared" si="16"/>
        <v>0</v>
      </c>
      <c r="R279" s="152">
        <f t="shared" si="17"/>
        <v>0</v>
      </c>
      <c r="S279" s="152">
        <f t="shared" si="18"/>
        <v>0</v>
      </c>
      <c r="T279" s="18">
        <f t="shared" si="19"/>
        <v>0</v>
      </c>
    </row>
    <row r="280" spans="2:20" x14ac:dyDescent="0.25">
      <c r="B280" s="117" t="s">
        <v>530</v>
      </c>
      <c r="C280" s="136" t="s">
        <v>531</v>
      </c>
      <c r="D280" s="14" t="s">
        <v>15</v>
      </c>
      <c r="E280" s="14" t="s">
        <v>200</v>
      </c>
      <c r="F280" s="15"/>
      <c r="G280" s="16"/>
      <c r="H280" s="15"/>
      <c r="I280" s="16"/>
      <c r="J280" s="15"/>
      <c r="K280" s="16"/>
      <c r="L280" s="15"/>
      <c r="M280" s="63"/>
      <c r="N280" s="17"/>
      <c r="O280" s="16"/>
      <c r="P280" s="16"/>
      <c r="Q280" s="152">
        <f t="shared" si="16"/>
        <v>0</v>
      </c>
      <c r="R280" s="152">
        <f t="shared" si="17"/>
        <v>0</v>
      </c>
      <c r="S280" s="152">
        <f t="shared" si="18"/>
        <v>0</v>
      </c>
      <c r="T280" s="18">
        <f t="shared" si="19"/>
        <v>0</v>
      </c>
    </row>
    <row r="281" spans="2:20" x14ac:dyDescent="0.25">
      <c r="B281" s="117" t="s">
        <v>927</v>
      </c>
      <c r="C281" s="136" t="s">
        <v>928</v>
      </c>
      <c r="D281" s="14" t="s">
        <v>15</v>
      </c>
      <c r="E281" s="14" t="s">
        <v>200</v>
      </c>
      <c r="F281" s="15"/>
      <c r="G281" s="16"/>
      <c r="H281" s="15"/>
      <c r="I281" s="16"/>
      <c r="J281" s="15"/>
      <c r="K281" s="16"/>
      <c r="L281" s="15"/>
      <c r="M281" s="63"/>
      <c r="N281" s="17"/>
      <c r="O281" s="16"/>
      <c r="P281" s="16"/>
      <c r="Q281" s="152">
        <f t="shared" si="16"/>
        <v>0</v>
      </c>
      <c r="R281" s="152">
        <f t="shared" si="17"/>
        <v>0</v>
      </c>
      <c r="S281" s="152">
        <f t="shared" si="18"/>
        <v>0</v>
      </c>
      <c r="T281" s="18">
        <f t="shared" si="19"/>
        <v>0</v>
      </c>
    </row>
    <row r="282" spans="2:20" x14ac:dyDescent="0.25">
      <c r="B282" s="117" t="s">
        <v>532</v>
      </c>
      <c r="C282" s="136" t="s">
        <v>533</v>
      </c>
      <c r="D282" s="14" t="s">
        <v>15</v>
      </c>
      <c r="E282" s="14" t="s">
        <v>16</v>
      </c>
      <c r="F282" s="15"/>
      <c r="G282" s="16"/>
      <c r="H282" s="15"/>
      <c r="I282" s="16"/>
      <c r="J282" s="15"/>
      <c r="K282" s="16"/>
      <c r="L282" s="15"/>
      <c r="M282" s="63"/>
      <c r="N282" s="17"/>
      <c r="O282" s="16"/>
      <c r="P282" s="16"/>
      <c r="Q282" s="152">
        <f t="shared" si="16"/>
        <v>0</v>
      </c>
      <c r="R282" s="152">
        <f t="shared" si="17"/>
        <v>0</v>
      </c>
      <c r="S282" s="152">
        <f t="shared" si="18"/>
        <v>0</v>
      </c>
      <c r="T282" s="18">
        <f t="shared" si="19"/>
        <v>0</v>
      </c>
    </row>
    <row r="283" spans="2:20" x14ac:dyDescent="0.25">
      <c r="B283" s="117" t="s">
        <v>534</v>
      </c>
      <c r="C283" s="136" t="s">
        <v>535</v>
      </c>
      <c r="D283" s="14" t="s">
        <v>15</v>
      </c>
      <c r="E283" s="14" t="s">
        <v>16</v>
      </c>
      <c r="F283" s="15"/>
      <c r="G283" s="16"/>
      <c r="H283" s="15"/>
      <c r="I283" s="16"/>
      <c r="J283" s="15"/>
      <c r="K283" s="16"/>
      <c r="L283" s="15"/>
      <c r="M283" s="63"/>
      <c r="N283" s="17"/>
      <c r="O283" s="16"/>
      <c r="P283" s="16"/>
      <c r="Q283" s="152">
        <f t="shared" si="16"/>
        <v>0</v>
      </c>
      <c r="R283" s="152">
        <f t="shared" si="17"/>
        <v>0</v>
      </c>
      <c r="S283" s="152">
        <f t="shared" si="18"/>
        <v>0</v>
      </c>
      <c r="T283" s="18">
        <f t="shared" si="19"/>
        <v>0</v>
      </c>
    </row>
    <row r="284" spans="2:20" x14ac:dyDescent="0.25">
      <c r="B284" s="117" t="s">
        <v>744</v>
      </c>
      <c r="C284" s="136" t="s">
        <v>745</v>
      </c>
      <c r="D284" s="14" t="s">
        <v>15</v>
      </c>
      <c r="E284" s="14" t="s">
        <v>16</v>
      </c>
      <c r="F284" s="15"/>
      <c r="G284" s="16"/>
      <c r="H284" s="15"/>
      <c r="I284" s="16"/>
      <c r="J284" s="15"/>
      <c r="K284" s="16"/>
      <c r="L284" s="15"/>
      <c r="M284" s="63"/>
      <c r="N284" s="17"/>
      <c r="O284" s="16"/>
      <c r="P284" s="16"/>
      <c r="Q284" s="152">
        <f t="shared" si="16"/>
        <v>0</v>
      </c>
      <c r="R284" s="152">
        <f t="shared" si="17"/>
        <v>0</v>
      </c>
      <c r="S284" s="152">
        <f t="shared" si="18"/>
        <v>0</v>
      </c>
      <c r="T284" s="18">
        <f t="shared" si="19"/>
        <v>0</v>
      </c>
    </row>
    <row r="285" spans="2:20" x14ac:dyDescent="0.25">
      <c r="B285" s="117" t="s">
        <v>542</v>
      </c>
      <c r="C285" s="136" t="s">
        <v>543</v>
      </c>
      <c r="D285" s="14" t="s">
        <v>15</v>
      </c>
      <c r="E285" s="14" t="s">
        <v>16</v>
      </c>
      <c r="F285" s="15"/>
      <c r="G285" s="16"/>
      <c r="H285" s="15"/>
      <c r="I285" s="16"/>
      <c r="J285" s="15"/>
      <c r="K285" s="16"/>
      <c r="L285" s="15"/>
      <c r="M285" s="63"/>
      <c r="N285" s="17"/>
      <c r="O285" s="16"/>
      <c r="P285" s="16"/>
      <c r="Q285" s="152">
        <f t="shared" si="16"/>
        <v>0</v>
      </c>
      <c r="R285" s="152">
        <f t="shared" si="17"/>
        <v>0</v>
      </c>
      <c r="S285" s="152">
        <f t="shared" si="18"/>
        <v>0</v>
      </c>
      <c r="T285" s="18">
        <f t="shared" si="19"/>
        <v>0</v>
      </c>
    </row>
    <row r="286" spans="2:20" x14ac:dyDescent="0.25">
      <c r="B286" s="117" t="s">
        <v>544</v>
      </c>
      <c r="C286" s="136" t="s">
        <v>545</v>
      </c>
      <c r="D286" s="14" t="s">
        <v>15</v>
      </c>
      <c r="E286" s="14" t="s">
        <v>761</v>
      </c>
      <c r="F286" s="15"/>
      <c r="G286" s="16"/>
      <c r="H286" s="15"/>
      <c r="I286" s="16"/>
      <c r="J286" s="15"/>
      <c r="K286" s="16"/>
      <c r="L286" s="15"/>
      <c r="M286" s="63"/>
      <c r="N286" s="17"/>
      <c r="O286" s="16"/>
      <c r="P286" s="16"/>
      <c r="Q286" s="152">
        <f t="shared" si="16"/>
        <v>0</v>
      </c>
      <c r="R286" s="152">
        <f t="shared" si="17"/>
        <v>0</v>
      </c>
      <c r="S286" s="152">
        <f t="shared" si="18"/>
        <v>0</v>
      </c>
      <c r="T286" s="18">
        <f t="shared" si="19"/>
        <v>0</v>
      </c>
    </row>
    <row r="287" spans="2:20" x14ac:dyDescent="0.25">
      <c r="B287" s="117" t="s">
        <v>769</v>
      </c>
      <c r="C287" s="136" t="s">
        <v>770</v>
      </c>
      <c r="D287" s="14" t="s">
        <v>755</v>
      </c>
      <c r="E287" s="14" t="s">
        <v>475</v>
      </c>
      <c r="F287" s="15"/>
      <c r="G287" s="16"/>
      <c r="H287" s="15"/>
      <c r="I287" s="16"/>
      <c r="J287" s="15"/>
      <c r="K287" s="16"/>
      <c r="L287" s="15"/>
      <c r="M287" s="63"/>
      <c r="N287" s="17"/>
      <c r="O287" s="16"/>
      <c r="P287" s="16"/>
      <c r="Q287" s="152">
        <f t="shared" si="16"/>
        <v>0</v>
      </c>
      <c r="R287" s="152">
        <f t="shared" si="17"/>
        <v>0</v>
      </c>
      <c r="S287" s="152">
        <f t="shared" si="18"/>
        <v>0</v>
      </c>
      <c r="T287" s="18">
        <f t="shared" si="19"/>
        <v>0</v>
      </c>
    </row>
    <row r="288" spans="2:20" x14ac:dyDescent="0.25">
      <c r="B288" s="117" t="s">
        <v>548</v>
      </c>
      <c r="C288" s="136" t="s">
        <v>549</v>
      </c>
      <c r="D288" s="14" t="s">
        <v>15</v>
      </c>
      <c r="E288" s="14" t="s">
        <v>21</v>
      </c>
      <c r="F288" s="15"/>
      <c r="G288" s="16"/>
      <c r="H288" s="15"/>
      <c r="I288" s="16"/>
      <c r="J288" s="15"/>
      <c r="K288" s="16"/>
      <c r="L288" s="15"/>
      <c r="M288" s="63"/>
      <c r="N288" s="17"/>
      <c r="O288" s="16"/>
      <c r="P288" s="16"/>
      <c r="Q288" s="152">
        <f t="shared" si="16"/>
        <v>0</v>
      </c>
      <c r="R288" s="152">
        <f t="shared" si="17"/>
        <v>0</v>
      </c>
      <c r="S288" s="152">
        <f t="shared" si="18"/>
        <v>0</v>
      </c>
      <c r="T288" s="18">
        <f>G288+I288+K288+M288+O288</f>
        <v>0</v>
      </c>
    </row>
    <row r="289" spans="2:20" x14ac:dyDescent="0.25">
      <c r="B289" s="134" t="s">
        <v>557</v>
      </c>
      <c r="C289" s="135" t="s">
        <v>584</v>
      </c>
      <c r="D289" s="135" t="s">
        <v>55</v>
      </c>
      <c r="E289" s="22" t="s">
        <v>56</v>
      </c>
      <c r="F289" s="23">
        <v>46066</v>
      </c>
      <c r="G289" s="24">
        <v>0.78</v>
      </c>
      <c r="H289" s="23"/>
      <c r="I289" s="24"/>
      <c r="J289" s="23"/>
      <c r="K289" s="24"/>
      <c r="L289" s="23"/>
      <c r="M289" s="24"/>
      <c r="N289" s="25"/>
      <c r="O289" s="24"/>
      <c r="P289" s="24"/>
      <c r="Q289" s="24"/>
      <c r="R289" s="24"/>
      <c r="S289" s="24"/>
      <c r="T289" s="26">
        <f>G289+I289+K289+M289+O289</f>
        <v>0.78</v>
      </c>
    </row>
    <row r="290" spans="2:20" x14ac:dyDescent="0.25">
      <c r="B290" s="134" t="s">
        <v>563</v>
      </c>
      <c r="C290" s="135" t="s">
        <v>590</v>
      </c>
      <c r="D290" s="135" t="s">
        <v>55</v>
      </c>
      <c r="E290" s="22" t="s">
        <v>56</v>
      </c>
      <c r="F290" s="23"/>
      <c r="G290" s="24"/>
      <c r="H290" s="23"/>
      <c r="I290" s="24"/>
      <c r="J290" s="23"/>
      <c r="K290" s="24"/>
      <c r="L290" s="23"/>
      <c r="M290" s="24"/>
      <c r="N290" s="25"/>
      <c r="O290" s="24"/>
      <c r="P290" s="24"/>
      <c r="Q290" s="24"/>
      <c r="R290" s="24"/>
      <c r="S290" s="24"/>
      <c r="T290" s="26">
        <f t="shared" ref="T290:T344" si="20">G290+I290+K290+M290+O290</f>
        <v>0</v>
      </c>
    </row>
    <row r="291" spans="2:20" x14ac:dyDescent="0.25">
      <c r="B291" s="134" t="s">
        <v>554</v>
      </c>
      <c r="C291" s="135" t="s">
        <v>581</v>
      </c>
      <c r="D291" s="135" t="s">
        <v>55</v>
      </c>
      <c r="E291" s="22" t="s">
        <v>56</v>
      </c>
      <c r="F291" s="23"/>
      <c r="G291" s="24"/>
      <c r="H291" s="23"/>
      <c r="I291" s="24"/>
      <c r="J291" s="23"/>
      <c r="K291" s="24"/>
      <c r="L291" s="23"/>
      <c r="M291" s="24"/>
      <c r="N291" s="25"/>
      <c r="O291" s="24"/>
      <c r="P291" s="24"/>
      <c r="Q291" s="24"/>
      <c r="R291" s="24"/>
      <c r="S291" s="24"/>
      <c r="T291" s="26">
        <f t="shared" si="20"/>
        <v>0</v>
      </c>
    </row>
    <row r="292" spans="2:20" x14ac:dyDescent="0.25">
      <c r="B292" s="134" t="s">
        <v>53</v>
      </c>
      <c r="C292" s="137" t="s">
        <v>54</v>
      </c>
      <c r="D292" s="135" t="s">
        <v>55</v>
      </c>
      <c r="E292" s="22" t="s">
        <v>56</v>
      </c>
      <c r="F292" s="23"/>
      <c r="G292" s="24"/>
      <c r="H292" s="23"/>
      <c r="I292" s="24"/>
      <c r="J292" s="23"/>
      <c r="K292" s="24"/>
      <c r="L292" s="23"/>
      <c r="M292" s="24"/>
      <c r="N292" s="25"/>
      <c r="O292" s="24"/>
      <c r="P292" s="24"/>
      <c r="Q292" s="24"/>
      <c r="R292" s="24"/>
      <c r="S292" s="24"/>
      <c r="T292" s="26">
        <f t="shared" si="20"/>
        <v>0</v>
      </c>
    </row>
    <row r="293" spans="2:20" x14ac:dyDescent="0.25">
      <c r="B293" s="134" t="s">
        <v>556</v>
      </c>
      <c r="C293" s="137" t="s">
        <v>583</v>
      </c>
      <c r="D293" s="135" t="s">
        <v>55</v>
      </c>
      <c r="E293" s="22" t="s">
        <v>56</v>
      </c>
      <c r="F293" s="23">
        <v>46066</v>
      </c>
      <c r="G293" s="24">
        <v>2.52</v>
      </c>
      <c r="H293" s="23"/>
      <c r="I293" s="24"/>
      <c r="J293" s="23"/>
      <c r="K293" s="24"/>
      <c r="L293" s="23"/>
      <c r="M293" s="24"/>
      <c r="N293" s="25"/>
      <c r="O293" s="24"/>
      <c r="P293" s="24"/>
      <c r="Q293" s="24"/>
      <c r="R293" s="24"/>
      <c r="S293" s="24"/>
      <c r="T293" s="26">
        <f t="shared" si="20"/>
        <v>2.52</v>
      </c>
    </row>
    <row r="294" spans="2:20" x14ac:dyDescent="0.25">
      <c r="B294" s="134" t="s">
        <v>61</v>
      </c>
      <c r="C294" s="137" t="s">
        <v>62</v>
      </c>
      <c r="D294" s="135" t="s">
        <v>55</v>
      </c>
      <c r="E294" s="22" t="s">
        <v>56</v>
      </c>
      <c r="F294" s="23">
        <v>46062</v>
      </c>
      <c r="G294" s="24">
        <v>0.26</v>
      </c>
      <c r="H294" s="23"/>
      <c r="I294" s="24"/>
      <c r="J294" s="23"/>
      <c r="K294" s="24"/>
      <c r="L294" s="23"/>
      <c r="M294" s="24"/>
      <c r="N294" s="25"/>
      <c r="O294" s="24"/>
      <c r="P294" s="24"/>
      <c r="Q294" s="24"/>
      <c r="R294" s="24"/>
      <c r="S294" s="24"/>
      <c r="T294" s="26">
        <f t="shared" si="20"/>
        <v>0.26</v>
      </c>
    </row>
    <row r="295" spans="2:20" x14ac:dyDescent="0.25">
      <c r="B295" s="134" t="s">
        <v>71</v>
      </c>
      <c r="C295" s="137" t="s">
        <v>72</v>
      </c>
      <c r="D295" s="135" t="s">
        <v>55</v>
      </c>
      <c r="E295" s="22" t="s">
        <v>56</v>
      </c>
      <c r="F295" s="23"/>
      <c r="G295" s="24"/>
      <c r="H295" s="23"/>
      <c r="I295" s="24"/>
      <c r="J295" s="23"/>
      <c r="K295" s="24"/>
      <c r="L295" s="23"/>
      <c r="M295" s="24"/>
      <c r="N295" s="25"/>
      <c r="O295" s="24"/>
      <c r="P295" s="24"/>
      <c r="Q295" s="24"/>
      <c r="R295" s="24"/>
      <c r="S295" s="24"/>
      <c r="T295" s="26">
        <f t="shared" si="20"/>
        <v>0</v>
      </c>
    </row>
    <row r="296" spans="2:20" x14ac:dyDescent="0.25">
      <c r="B296" s="134" t="s">
        <v>112</v>
      </c>
      <c r="C296" s="137" t="s">
        <v>113</v>
      </c>
      <c r="D296" s="135" t="s">
        <v>55</v>
      </c>
      <c r="E296" s="22" t="s">
        <v>56</v>
      </c>
      <c r="F296" s="23"/>
      <c r="G296" s="24"/>
      <c r="H296" s="23"/>
      <c r="I296" s="24"/>
      <c r="J296" s="23"/>
      <c r="K296" s="24"/>
      <c r="L296" s="23"/>
      <c r="M296" s="24"/>
      <c r="N296" s="25"/>
      <c r="O296" s="24"/>
      <c r="P296" s="24"/>
      <c r="Q296" s="24"/>
      <c r="R296" s="24"/>
      <c r="S296" s="24"/>
      <c r="T296" s="26">
        <f t="shared" si="20"/>
        <v>0</v>
      </c>
    </row>
    <row r="297" spans="2:20" x14ac:dyDescent="0.25">
      <c r="B297" s="134" t="s">
        <v>564</v>
      </c>
      <c r="C297" s="137" t="s">
        <v>591</v>
      </c>
      <c r="D297" s="135" t="s">
        <v>55</v>
      </c>
      <c r="E297" s="22" t="s">
        <v>56</v>
      </c>
      <c r="F297" s="23"/>
      <c r="G297" s="24"/>
      <c r="H297" s="23"/>
      <c r="I297" s="24"/>
      <c r="J297" s="23"/>
      <c r="K297" s="24"/>
      <c r="L297" s="23"/>
      <c r="M297" s="24"/>
      <c r="N297" s="25"/>
      <c r="O297" s="24"/>
      <c r="P297" s="24"/>
      <c r="Q297" s="24"/>
      <c r="R297" s="24"/>
      <c r="S297" s="24"/>
      <c r="T297" s="26">
        <f t="shared" si="20"/>
        <v>0</v>
      </c>
    </row>
    <row r="298" spans="2:20" x14ac:dyDescent="0.25">
      <c r="B298" s="134" t="s">
        <v>566</v>
      </c>
      <c r="C298" s="137" t="s">
        <v>593</v>
      </c>
      <c r="D298" s="135" t="s">
        <v>55</v>
      </c>
      <c r="E298" s="22" t="s">
        <v>56</v>
      </c>
      <c r="F298" s="23"/>
      <c r="G298" s="24"/>
      <c r="H298" s="23"/>
      <c r="I298" s="24"/>
      <c r="J298" s="23"/>
      <c r="K298" s="24"/>
      <c r="L298" s="23"/>
      <c r="M298" s="24"/>
      <c r="N298" s="25"/>
      <c r="O298" s="24"/>
      <c r="P298" s="24"/>
      <c r="Q298" s="24"/>
      <c r="R298" s="24"/>
      <c r="S298" s="24"/>
      <c r="T298" s="26">
        <f t="shared" si="20"/>
        <v>0</v>
      </c>
    </row>
    <row r="299" spans="2:20" x14ac:dyDescent="0.25">
      <c r="B299" s="134" t="s">
        <v>568</v>
      </c>
      <c r="C299" s="137" t="s">
        <v>595</v>
      </c>
      <c r="D299" s="135" t="s">
        <v>55</v>
      </c>
      <c r="E299" s="22" t="s">
        <v>56</v>
      </c>
      <c r="F299" s="23"/>
      <c r="G299" s="24"/>
      <c r="H299" s="23"/>
      <c r="I299" s="24"/>
      <c r="J299" s="23"/>
      <c r="K299" s="24"/>
      <c r="L299" s="23"/>
      <c r="M299" s="24"/>
      <c r="N299" s="25"/>
      <c r="O299" s="24"/>
      <c r="P299" s="24"/>
      <c r="Q299" s="24"/>
      <c r="R299" s="24"/>
      <c r="S299" s="24"/>
      <c r="T299" s="26">
        <f t="shared" si="20"/>
        <v>0</v>
      </c>
    </row>
    <row r="300" spans="2:20" x14ac:dyDescent="0.25">
      <c r="B300" s="134" t="s">
        <v>141</v>
      </c>
      <c r="C300" s="137" t="s">
        <v>142</v>
      </c>
      <c r="D300" s="135" t="s">
        <v>55</v>
      </c>
      <c r="E300" s="22" t="s">
        <v>56</v>
      </c>
      <c r="F300" s="23">
        <v>46070</v>
      </c>
      <c r="G300" s="24">
        <v>1.78</v>
      </c>
      <c r="H300" s="23"/>
      <c r="I300" s="24"/>
      <c r="J300" s="23"/>
      <c r="K300" s="24"/>
      <c r="L300" s="23"/>
      <c r="M300" s="24"/>
      <c r="N300" s="25"/>
      <c r="O300" s="24"/>
      <c r="P300" s="24"/>
      <c r="Q300" s="24"/>
      <c r="R300" s="24"/>
      <c r="S300" s="24"/>
      <c r="T300" s="26">
        <f t="shared" si="20"/>
        <v>1.78</v>
      </c>
    </row>
    <row r="301" spans="2:20" x14ac:dyDescent="0.25">
      <c r="B301" s="134" t="s">
        <v>143</v>
      </c>
      <c r="C301" s="137" t="s">
        <v>144</v>
      </c>
      <c r="D301" s="135" t="s">
        <v>55</v>
      </c>
      <c r="E301" s="22" t="s">
        <v>56</v>
      </c>
      <c r="F301" s="23"/>
      <c r="G301" s="24"/>
      <c r="H301" s="23"/>
      <c r="I301" s="24"/>
      <c r="J301" s="23"/>
      <c r="K301" s="24"/>
      <c r="L301" s="23"/>
      <c r="M301" s="24"/>
      <c r="N301" s="25"/>
      <c r="O301" s="24"/>
      <c r="P301" s="24"/>
      <c r="Q301" s="24"/>
      <c r="R301" s="24"/>
      <c r="S301" s="24"/>
      <c r="T301" s="26">
        <f t="shared" si="20"/>
        <v>0</v>
      </c>
    </row>
    <row r="302" spans="2:20" x14ac:dyDescent="0.25">
      <c r="B302" s="134" t="s">
        <v>145</v>
      </c>
      <c r="C302" s="137" t="s">
        <v>146</v>
      </c>
      <c r="D302" s="135" t="s">
        <v>55</v>
      </c>
      <c r="E302" s="22" t="s">
        <v>56</v>
      </c>
      <c r="F302" s="23">
        <v>46055</v>
      </c>
      <c r="G302" s="24">
        <v>0.6</v>
      </c>
      <c r="H302" s="23"/>
      <c r="I302" s="24"/>
      <c r="J302" s="23"/>
      <c r="K302" s="24"/>
      <c r="L302" s="23"/>
      <c r="M302" s="24"/>
      <c r="N302" s="25"/>
      <c r="O302" s="24"/>
      <c r="P302" s="24"/>
      <c r="Q302" s="24"/>
      <c r="R302" s="24"/>
      <c r="S302" s="24"/>
      <c r="T302" s="26">
        <f t="shared" si="20"/>
        <v>0.6</v>
      </c>
    </row>
    <row r="303" spans="2:20" x14ac:dyDescent="0.25">
      <c r="B303" s="134" t="s">
        <v>147</v>
      </c>
      <c r="C303" s="137" t="s">
        <v>148</v>
      </c>
      <c r="D303" s="135" t="s">
        <v>55</v>
      </c>
      <c r="E303" s="22" t="s">
        <v>56</v>
      </c>
      <c r="F303" s="23"/>
      <c r="G303" s="24"/>
      <c r="H303" s="23"/>
      <c r="I303" s="24"/>
      <c r="J303" s="23"/>
      <c r="K303" s="24"/>
      <c r="L303" s="23"/>
      <c r="M303" s="24"/>
      <c r="N303" s="25"/>
      <c r="O303" s="24"/>
      <c r="P303" s="24"/>
      <c r="Q303" s="24"/>
      <c r="R303" s="24"/>
      <c r="S303" s="24"/>
      <c r="T303" s="26">
        <f t="shared" si="20"/>
        <v>0</v>
      </c>
    </row>
    <row r="304" spans="2:20" x14ac:dyDescent="0.25">
      <c r="B304" s="134" t="s">
        <v>149</v>
      </c>
      <c r="C304" s="137" t="s">
        <v>150</v>
      </c>
      <c r="D304" s="135" t="s">
        <v>55</v>
      </c>
      <c r="E304" s="22" t="s">
        <v>56</v>
      </c>
      <c r="F304" s="23"/>
      <c r="G304" s="24"/>
      <c r="H304" s="23"/>
      <c r="I304" s="24"/>
      <c r="J304" s="23"/>
      <c r="K304" s="24"/>
      <c r="L304" s="23"/>
      <c r="M304" s="24"/>
      <c r="N304" s="25"/>
      <c r="O304" s="24"/>
      <c r="P304" s="24"/>
      <c r="Q304" s="24"/>
      <c r="R304" s="24"/>
      <c r="S304" s="24"/>
      <c r="T304" s="26">
        <f t="shared" si="20"/>
        <v>0</v>
      </c>
    </row>
    <row r="305" spans="1:21" x14ac:dyDescent="0.25">
      <c r="B305" s="134" t="s">
        <v>550</v>
      </c>
      <c r="C305" s="137" t="s">
        <v>155</v>
      </c>
      <c r="D305" s="135" t="s">
        <v>55</v>
      </c>
      <c r="E305" s="22" t="s">
        <v>56</v>
      </c>
      <c r="F305" s="23"/>
      <c r="G305" s="24"/>
      <c r="H305" s="23"/>
      <c r="I305" s="24"/>
      <c r="J305" s="23"/>
      <c r="K305" s="24"/>
      <c r="L305" s="23"/>
      <c r="M305" s="24"/>
      <c r="N305" s="25"/>
      <c r="O305" s="24"/>
      <c r="P305" s="24"/>
      <c r="Q305" s="24"/>
      <c r="R305" s="24"/>
      <c r="S305" s="24"/>
      <c r="T305" s="26">
        <f t="shared" si="20"/>
        <v>0</v>
      </c>
    </row>
    <row r="306" spans="1:21" x14ac:dyDescent="0.25">
      <c r="B306" s="134" t="s">
        <v>577</v>
      </c>
      <c r="C306" s="137" t="s">
        <v>604</v>
      </c>
      <c r="D306" s="135" t="s">
        <v>55</v>
      </c>
      <c r="E306" s="22" t="s">
        <v>56</v>
      </c>
      <c r="F306" s="23">
        <v>46044</v>
      </c>
      <c r="G306" s="24">
        <v>0.66500000000000004</v>
      </c>
      <c r="H306" s="23"/>
      <c r="I306" s="24"/>
      <c r="J306" s="23"/>
      <c r="K306" s="24"/>
      <c r="L306" s="23"/>
      <c r="M306" s="24"/>
      <c r="N306" s="25"/>
      <c r="O306" s="24"/>
      <c r="P306" s="24"/>
      <c r="Q306" s="24"/>
      <c r="R306" s="24"/>
      <c r="S306" s="24"/>
      <c r="T306" s="26">
        <f t="shared" si="20"/>
        <v>0.66500000000000004</v>
      </c>
    </row>
    <row r="307" spans="1:21" x14ac:dyDescent="0.25">
      <c r="B307" s="134" t="s">
        <v>192</v>
      </c>
      <c r="C307" s="137" t="s">
        <v>193</v>
      </c>
      <c r="D307" s="135" t="s">
        <v>55</v>
      </c>
      <c r="E307" s="22" t="s">
        <v>56</v>
      </c>
      <c r="F307" s="23">
        <v>46066</v>
      </c>
      <c r="G307" s="24">
        <v>1.0649999999999999</v>
      </c>
      <c r="H307" s="23"/>
      <c r="I307" s="24"/>
      <c r="J307" s="23"/>
      <c r="K307" s="24"/>
      <c r="L307" s="23"/>
      <c r="M307" s="24"/>
      <c r="N307" s="25"/>
      <c r="O307" s="24"/>
      <c r="P307" s="24"/>
      <c r="Q307" s="24"/>
      <c r="R307" s="24"/>
      <c r="S307" s="24"/>
      <c r="T307" s="26">
        <f t="shared" si="20"/>
        <v>1.0649999999999999</v>
      </c>
    </row>
    <row r="308" spans="1:21" x14ac:dyDescent="0.25">
      <c r="B308" s="134" t="s">
        <v>575</v>
      </c>
      <c r="C308" s="137" t="s">
        <v>602</v>
      </c>
      <c r="D308" s="135" t="s">
        <v>55</v>
      </c>
      <c r="E308" s="22" t="s">
        <v>56</v>
      </c>
      <c r="F308" s="23">
        <v>46066</v>
      </c>
      <c r="G308" s="24">
        <v>1.73</v>
      </c>
      <c r="H308" s="23"/>
      <c r="I308" s="24"/>
      <c r="J308" s="23"/>
      <c r="K308" s="24"/>
      <c r="L308" s="23"/>
      <c r="M308" s="24"/>
      <c r="N308" s="25"/>
      <c r="O308" s="24"/>
      <c r="P308" s="24"/>
      <c r="Q308" s="24"/>
      <c r="R308" s="24"/>
      <c r="S308" s="24"/>
      <c r="T308" s="26">
        <f t="shared" si="20"/>
        <v>1.73</v>
      </c>
    </row>
    <row r="309" spans="1:21" x14ac:dyDescent="0.25">
      <c r="A309" s="33"/>
      <c r="B309" s="134" t="s">
        <v>223</v>
      </c>
      <c r="C309" s="137" t="s">
        <v>224</v>
      </c>
      <c r="D309" s="135" t="s">
        <v>55</v>
      </c>
      <c r="E309" s="22" t="s">
        <v>56</v>
      </c>
      <c r="F309" s="23">
        <v>46065</v>
      </c>
      <c r="G309" s="24">
        <v>1.03</v>
      </c>
      <c r="H309" s="23"/>
      <c r="I309" s="24"/>
      <c r="J309" s="23"/>
      <c r="K309" s="24"/>
      <c r="L309" s="23"/>
      <c r="M309" s="24"/>
      <c r="N309" s="25"/>
      <c r="O309" s="24"/>
      <c r="P309" s="24"/>
      <c r="Q309" s="24"/>
      <c r="R309" s="24"/>
      <c r="S309" s="24"/>
      <c r="T309" s="26">
        <f t="shared" si="20"/>
        <v>1.03</v>
      </c>
      <c r="U309" s="36"/>
    </row>
    <row r="310" spans="1:21" x14ac:dyDescent="0.25">
      <c r="A310" s="33"/>
      <c r="B310" s="134" t="s">
        <v>227</v>
      </c>
      <c r="C310" s="137" t="s">
        <v>228</v>
      </c>
      <c r="D310" s="135" t="s">
        <v>55</v>
      </c>
      <c r="E310" s="22" t="s">
        <v>56</v>
      </c>
      <c r="F310" s="23">
        <v>46066</v>
      </c>
      <c r="G310" s="24">
        <v>0.15</v>
      </c>
      <c r="H310" s="23"/>
      <c r="I310" s="24"/>
      <c r="J310" s="23"/>
      <c r="K310" s="24"/>
      <c r="L310" s="23"/>
      <c r="M310" s="24"/>
      <c r="N310" s="25"/>
      <c r="O310" s="24"/>
      <c r="P310" s="24"/>
      <c r="Q310" s="24"/>
      <c r="R310" s="24"/>
      <c r="S310" s="24"/>
      <c r="T310" s="26">
        <f t="shared" si="20"/>
        <v>0.15</v>
      </c>
      <c r="U310" s="36"/>
    </row>
    <row r="311" spans="1:21" x14ac:dyDescent="0.25">
      <c r="B311" s="134" t="s">
        <v>961</v>
      </c>
      <c r="C311" s="137" t="s">
        <v>241</v>
      </c>
      <c r="D311" s="135" t="s">
        <v>55</v>
      </c>
      <c r="E311" s="22" t="s">
        <v>56</v>
      </c>
      <c r="F311" s="23"/>
      <c r="G311" s="24"/>
      <c r="H311" s="23"/>
      <c r="I311" s="24"/>
      <c r="J311" s="23"/>
      <c r="K311" s="24"/>
      <c r="L311" s="23"/>
      <c r="M311" s="24"/>
      <c r="N311" s="25"/>
      <c r="O311" s="24"/>
      <c r="P311" s="24"/>
      <c r="Q311" s="24"/>
      <c r="R311" s="24"/>
      <c r="S311" s="24"/>
      <c r="T311" s="26">
        <f t="shared" si="20"/>
        <v>0</v>
      </c>
    </row>
    <row r="312" spans="1:21" x14ac:dyDescent="0.25">
      <c r="B312" s="134" t="s">
        <v>246</v>
      </c>
      <c r="C312" s="137" t="s">
        <v>247</v>
      </c>
      <c r="D312" s="135" t="s">
        <v>55</v>
      </c>
      <c r="E312" s="22" t="s">
        <v>56</v>
      </c>
      <c r="F312" s="23"/>
      <c r="G312" s="24"/>
      <c r="H312" s="23"/>
      <c r="I312" s="24"/>
      <c r="J312" s="23"/>
      <c r="K312" s="24"/>
      <c r="L312" s="23"/>
      <c r="M312" s="24"/>
      <c r="N312" s="25"/>
      <c r="O312" s="24"/>
      <c r="P312" s="24"/>
      <c r="Q312" s="24"/>
      <c r="R312" s="24"/>
      <c r="S312" s="24"/>
      <c r="T312" s="26">
        <f t="shared" si="20"/>
        <v>0</v>
      </c>
    </row>
    <row r="313" spans="1:21" x14ac:dyDescent="0.25">
      <c r="B313" s="134" t="s">
        <v>567</v>
      </c>
      <c r="C313" s="137" t="s">
        <v>594</v>
      </c>
      <c r="D313" s="135" t="s">
        <v>55</v>
      </c>
      <c r="E313" s="22" t="s">
        <v>56</v>
      </c>
      <c r="F313" s="23"/>
      <c r="G313" s="24"/>
      <c r="H313" s="23"/>
      <c r="I313" s="24"/>
      <c r="J313" s="23"/>
      <c r="K313" s="24"/>
      <c r="L313" s="23"/>
      <c r="M313" s="24"/>
      <c r="N313" s="25"/>
      <c r="O313" s="24"/>
      <c r="P313" s="24"/>
      <c r="Q313" s="24"/>
      <c r="R313" s="24"/>
      <c r="S313" s="24"/>
      <c r="T313" s="26">
        <f t="shared" si="20"/>
        <v>0</v>
      </c>
    </row>
    <row r="314" spans="1:21" x14ac:dyDescent="0.25">
      <c r="B314" s="134" t="s">
        <v>570</v>
      </c>
      <c r="C314" s="137" t="s">
        <v>597</v>
      </c>
      <c r="D314" s="135" t="s">
        <v>55</v>
      </c>
      <c r="E314" s="22" t="s">
        <v>56</v>
      </c>
      <c r="F314" s="23"/>
      <c r="G314" s="24"/>
      <c r="H314" s="23"/>
      <c r="I314" s="24"/>
      <c r="J314" s="23"/>
      <c r="K314" s="24"/>
      <c r="L314" s="23"/>
      <c r="M314" s="24"/>
      <c r="N314" s="25"/>
      <c r="O314" s="24"/>
      <c r="P314" s="24"/>
      <c r="Q314" s="24"/>
      <c r="R314" s="24"/>
      <c r="S314" s="24"/>
      <c r="T314" s="26">
        <f t="shared" si="20"/>
        <v>0</v>
      </c>
    </row>
    <row r="315" spans="1:21" x14ac:dyDescent="0.25">
      <c r="B315" s="134" t="s">
        <v>262</v>
      </c>
      <c r="C315" s="137" t="s">
        <v>263</v>
      </c>
      <c r="D315" s="135" t="s">
        <v>55</v>
      </c>
      <c r="E315" s="22" t="s">
        <v>56</v>
      </c>
      <c r="F315" s="23"/>
      <c r="G315" s="24"/>
      <c r="H315" s="23"/>
      <c r="I315" s="24"/>
      <c r="J315" s="23"/>
      <c r="K315" s="24"/>
      <c r="L315" s="23"/>
      <c r="M315" s="24"/>
      <c r="N315" s="25"/>
      <c r="O315" s="24"/>
      <c r="P315" s="24"/>
      <c r="Q315" s="24"/>
      <c r="R315" s="24"/>
      <c r="S315" s="24"/>
      <c r="T315" s="26">
        <f t="shared" si="20"/>
        <v>0</v>
      </c>
    </row>
    <row r="316" spans="1:21" x14ac:dyDescent="0.25">
      <c r="B316" s="134" t="s">
        <v>683</v>
      </c>
      <c r="C316" s="137" t="s">
        <v>592</v>
      </c>
      <c r="D316" s="135" t="s">
        <v>55</v>
      </c>
      <c r="E316" s="22" t="s">
        <v>56</v>
      </c>
      <c r="F316" s="23">
        <v>46080</v>
      </c>
      <c r="G316" s="24">
        <v>1.19</v>
      </c>
      <c r="H316" s="23"/>
      <c r="I316" s="24"/>
      <c r="J316" s="23"/>
      <c r="K316" s="24"/>
      <c r="L316" s="23"/>
      <c r="M316" s="24"/>
      <c r="N316" s="25"/>
      <c r="O316" s="24"/>
      <c r="P316" s="24"/>
      <c r="Q316" s="24"/>
      <c r="R316" s="24"/>
      <c r="S316" s="24"/>
      <c r="T316" s="26">
        <f t="shared" si="20"/>
        <v>1.19</v>
      </c>
    </row>
    <row r="317" spans="1:21" x14ac:dyDescent="0.25">
      <c r="B317" s="134" t="s">
        <v>553</v>
      </c>
      <c r="C317" s="137" t="s">
        <v>580</v>
      </c>
      <c r="D317" s="135" t="s">
        <v>55</v>
      </c>
      <c r="E317" s="22" t="s">
        <v>56</v>
      </c>
      <c r="F317" s="23">
        <v>46063</v>
      </c>
      <c r="G317" s="24">
        <v>1.68</v>
      </c>
      <c r="H317" s="23"/>
      <c r="I317" s="24"/>
      <c r="J317" s="23"/>
      <c r="K317" s="24"/>
      <c r="L317" s="23"/>
      <c r="M317" s="24"/>
      <c r="N317" s="25"/>
      <c r="O317" s="24"/>
      <c r="P317" s="24"/>
      <c r="Q317" s="24"/>
      <c r="R317" s="24"/>
      <c r="S317" s="24"/>
      <c r="T317" s="26">
        <f t="shared" si="20"/>
        <v>1.68</v>
      </c>
    </row>
    <row r="318" spans="1:21" x14ac:dyDescent="0.25">
      <c r="B318" s="134" t="s">
        <v>612</v>
      </c>
      <c r="C318" s="137" t="s">
        <v>275</v>
      </c>
      <c r="D318" s="135" t="s">
        <v>55</v>
      </c>
      <c r="E318" s="22" t="s">
        <v>56</v>
      </c>
      <c r="F318" s="23"/>
      <c r="G318" s="24"/>
      <c r="H318" s="23"/>
      <c r="I318" s="24"/>
      <c r="J318" s="23"/>
      <c r="K318" s="24"/>
      <c r="L318" s="23"/>
      <c r="M318" s="24"/>
      <c r="N318" s="25"/>
      <c r="O318" s="24"/>
      <c r="P318" s="24"/>
      <c r="Q318" s="24"/>
      <c r="R318" s="24"/>
      <c r="S318" s="24"/>
      <c r="T318" s="26">
        <f t="shared" si="20"/>
        <v>0</v>
      </c>
    </row>
    <row r="319" spans="1:21" x14ac:dyDescent="0.25">
      <c r="A319" s="33"/>
      <c r="B319" s="134" t="s">
        <v>280</v>
      </c>
      <c r="C319" s="137" t="s">
        <v>281</v>
      </c>
      <c r="D319" s="135" t="s">
        <v>55</v>
      </c>
      <c r="E319" s="22" t="s">
        <v>56</v>
      </c>
      <c r="F319" s="23">
        <v>46077</v>
      </c>
      <c r="G319" s="24">
        <v>1.3</v>
      </c>
      <c r="H319" s="23"/>
      <c r="I319" s="24"/>
      <c r="J319" s="23"/>
      <c r="K319" s="24"/>
      <c r="L319" s="23"/>
      <c r="M319" s="24"/>
      <c r="N319" s="25"/>
      <c r="O319" s="24"/>
      <c r="P319" s="24"/>
      <c r="Q319" s="24"/>
      <c r="R319" s="24"/>
      <c r="S319" s="24"/>
      <c r="T319" s="26">
        <f t="shared" si="20"/>
        <v>1.3</v>
      </c>
      <c r="U319" s="36"/>
    </row>
    <row r="320" spans="1:21" x14ac:dyDescent="0.25">
      <c r="B320" s="134" t="s">
        <v>282</v>
      </c>
      <c r="C320" s="137" t="s">
        <v>283</v>
      </c>
      <c r="D320" s="135" t="s">
        <v>55</v>
      </c>
      <c r="E320" s="22" t="s">
        <v>56</v>
      </c>
      <c r="F320" s="23"/>
      <c r="G320" s="24"/>
      <c r="H320" s="23"/>
      <c r="I320" s="24"/>
      <c r="J320" s="23"/>
      <c r="K320" s="24"/>
      <c r="L320" s="23"/>
      <c r="M320" s="24"/>
      <c r="N320" s="25"/>
      <c r="O320" s="24"/>
      <c r="P320" s="24"/>
      <c r="Q320" s="24"/>
      <c r="R320" s="24"/>
      <c r="S320" s="24"/>
      <c r="T320" s="26">
        <f t="shared" si="20"/>
        <v>0</v>
      </c>
    </row>
    <row r="321" spans="2:20" x14ac:dyDescent="0.25">
      <c r="B321" s="134" t="s">
        <v>562</v>
      </c>
      <c r="C321" s="137" t="s">
        <v>589</v>
      </c>
      <c r="D321" s="135" t="s">
        <v>55</v>
      </c>
      <c r="E321" s="22" t="s">
        <v>56</v>
      </c>
      <c r="F321" s="23"/>
      <c r="G321" s="24"/>
      <c r="H321" s="23"/>
      <c r="I321" s="24"/>
      <c r="J321" s="23"/>
      <c r="K321" s="24"/>
      <c r="L321" s="23"/>
      <c r="M321" s="24"/>
      <c r="N321" s="25"/>
      <c r="O321" s="24"/>
      <c r="P321" s="24"/>
      <c r="Q321" s="24"/>
      <c r="R321" s="24"/>
      <c r="S321" s="24"/>
      <c r="T321" s="26">
        <f t="shared" si="20"/>
        <v>0</v>
      </c>
    </row>
    <row r="322" spans="2:20" x14ac:dyDescent="0.25">
      <c r="B322" s="134" t="s">
        <v>561</v>
      </c>
      <c r="C322" s="137" t="s">
        <v>588</v>
      </c>
      <c r="D322" s="135" t="s">
        <v>55</v>
      </c>
      <c r="E322" s="22" t="s">
        <v>56</v>
      </c>
      <c r="F322" s="23"/>
      <c r="G322" s="24"/>
      <c r="H322" s="23"/>
      <c r="I322" s="24"/>
      <c r="J322" s="23"/>
      <c r="K322" s="24"/>
      <c r="L322" s="23"/>
      <c r="M322" s="24"/>
      <c r="N322" s="25"/>
      <c r="O322" s="24"/>
      <c r="P322" s="24"/>
      <c r="Q322" s="24"/>
      <c r="R322" s="24"/>
      <c r="S322" s="24"/>
      <c r="T322" s="26">
        <f t="shared" si="20"/>
        <v>0</v>
      </c>
    </row>
    <row r="323" spans="2:20" x14ac:dyDescent="0.25">
      <c r="B323" s="134" t="s">
        <v>558</v>
      </c>
      <c r="C323" s="137" t="s">
        <v>585</v>
      </c>
      <c r="D323" s="135" t="s">
        <v>55</v>
      </c>
      <c r="E323" s="22" t="s">
        <v>56</v>
      </c>
      <c r="F323" s="23"/>
      <c r="G323" s="24"/>
      <c r="H323" s="23"/>
      <c r="I323" s="24"/>
      <c r="J323" s="23"/>
      <c r="K323" s="24"/>
      <c r="L323" s="23"/>
      <c r="M323" s="24"/>
      <c r="N323" s="25"/>
      <c r="O323" s="24"/>
      <c r="P323" s="24"/>
      <c r="Q323" s="24"/>
      <c r="R323" s="24"/>
      <c r="S323" s="24"/>
      <c r="T323" s="26">
        <f t="shared" si="20"/>
        <v>0</v>
      </c>
    </row>
    <row r="324" spans="2:20" x14ac:dyDescent="0.25">
      <c r="B324" s="134" t="s">
        <v>324</v>
      </c>
      <c r="C324" s="137" t="s">
        <v>325</v>
      </c>
      <c r="D324" s="135" t="s">
        <v>55</v>
      </c>
      <c r="E324" s="22" t="s">
        <v>56</v>
      </c>
      <c r="F324" s="23"/>
      <c r="G324" s="24"/>
      <c r="H324" s="23"/>
      <c r="I324" s="24"/>
      <c r="J324" s="23"/>
      <c r="K324" s="24"/>
      <c r="L324" s="23"/>
      <c r="M324" s="24"/>
      <c r="N324" s="25"/>
      <c r="O324" s="24"/>
      <c r="P324" s="24"/>
      <c r="Q324" s="24"/>
      <c r="R324" s="24"/>
      <c r="S324" s="24"/>
      <c r="T324" s="26">
        <f t="shared" si="20"/>
        <v>0</v>
      </c>
    </row>
    <row r="325" spans="2:20" x14ac:dyDescent="0.25">
      <c r="B325" s="134" t="s">
        <v>331</v>
      </c>
      <c r="C325" s="137" t="s">
        <v>332</v>
      </c>
      <c r="D325" s="135" t="s">
        <v>55</v>
      </c>
      <c r="E325" s="22" t="s">
        <v>56</v>
      </c>
      <c r="F325" s="23">
        <v>46072</v>
      </c>
      <c r="G325" s="24">
        <v>0.91</v>
      </c>
      <c r="H325" s="23"/>
      <c r="I325" s="24"/>
      <c r="J325" s="23"/>
      <c r="K325" s="24"/>
      <c r="L325" s="23"/>
      <c r="M325" s="24"/>
      <c r="N325" s="25"/>
      <c r="O325" s="24"/>
      <c r="P325" s="24"/>
      <c r="Q325" s="24"/>
      <c r="R325" s="24"/>
      <c r="S325" s="24"/>
      <c r="T325" s="26">
        <f t="shared" si="20"/>
        <v>0.91</v>
      </c>
    </row>
    <row r="326" spans="2:20" x14ac:dyDescent="0.25">
      <c r="B326" s="134" t="s">
        <v>555</v>
      </c>
      <c r="C326" s="137" t="s">
        <v>582</v>
      </c>
      <c r="D326" s="138" t="s">
        <v>55</v>
      </c>
      <c r="E326" s="68" t="s">
        <v>56</v>
      </c>
      <c r="F326" s="23"/>
      <c r="G326" s="24"/>
      <c r="H326" s="23"/>
      <c r="I326" s="24"/>
      <c r="J326" s="23"/>
      <c r="K326" s="24"/>
      <c r="L326" s="23"/>
      <c r="M326" s="24"/>
      <c r="N326" s="25"/>
      <c r="O326" s="24"/>
      <c r="P326" s="24"/>
      <c r="Q326" s="24"/>
      <c r="R326" s="24"/>
      <c r="S326" s="24"/>
      <c r="T326" s="26">
        <f t="shared" si="20"/>
        <v>0</v>
      </c>
    </row>
    <row r="327" spans="2:20" x14ac:dyDescent="0.25">
      <c r="B327" s="134" t="s">
        <v>551</v>
      </c>
      <c r="C327" s="137" t="s">
        <v>578</v>
      </c>
      <c r="D327" s="135" t="s">
        <v>55</v>
      </c>
      <c r="E327" s="22" t="s">
        <v>56</v>
      </c>
      <c r="F327" s="23"/>
      <c r="G327" s="24"/>
      <c r="H327" s="23"/>
      <c r="I327" s="24"/>
      <c r="J327" s="23"/>
      <c r="K327" s="24"/>
      <c r="L327" s="23"/>
      <c r="M327" s="24"/>
      <c r="N327" s="25"/>
      <c r="O327" s="24"/>
      <c r="P327" s="24"/>
      <c r="Q327" s="24"/>
      <c r="R327" s="24"/>
      <c r="S327" s="24"/>
      <c r="T327" s="26">
        <f t="shared" si="20"/>
        <v>0</v>
      </c>
    </row>
    <row r="328" spans="2:20" x14ac:dyDescent="0.25">
      <c r="B328" s="134" t="s">
        <v>363</v>
      </c>
      <c r="C328" s="137" t="s">
        <v>364</v>
      </c>
      <c r="D328" s="135" t="s">
        <v>55</v>
      </c>
      <c r="E328" s="22" t="s">
        <v>56</v>
      </c>
      <c r="F328" s="23">
        <v>46045</v>
      </c>
      <c r="G328" s="24">
        <v>0.43</v>
      </c>
      <c r="H328" s="23"/>
      <c r="I328" s="24"/>
      <c r="J328" s="23"/>
      <c r="K328" s="24"/>
      <c r="L328" s="23"/>
      <c r="M328" s="24"/>
      <c r="N328" s="25"/>
      <c r="O328" s="24"/>
      <c r="P328" s="24"/>
      <c r="Q328" s="24"/>
      <c r="R328" s="24"/>
      <c r="S328" s="24"/>
      <c r="T328" s="26">
        <f t="shared" si="20"/>
        <v>0.43</v>
      </c>
    </row>
    <row r="329" spans="2:20" x14ac:dyDescent="0.25">
      <c r="B329" s="134" t="s">
        <v>606</v>
      </c>
      <c r="C329" s="137" t="s">
        <v>365</v>
      </c>
      <c r="D329" s="135" t="s">
        <v>55</v>
      </c>
      <c r="E329" s="22" t="s">
        <v>56</v>
      </c>
      <c r="F329" s="23"/>
      <c r="G329" s="24"/>
      <c r="H329" s="23"/>
      <c r="I329" s="24"/>
      <c r="J329" s="23"/>
      <c r="K329" s="24"/>
      <c r="L329" s="23"/>
      <c r="M329" s="24"/>
      <c r="N329" s="25"/>
      <c r="O329" s="24"/>
      <c r="P329" s="24"/>
      <c r="Q329" s="24"/>
      <c r="R329" s="24"/>
      <c r="S329" s="24"/>
      <c r="T329" s="26">
        <f t="shared" si="20"/>
        <v>0</v>
      </c>
    </row>
    <row r="330" spans="2:20" x14ac:dyDescent="0.25">
      <c r="B330" s="134" t="s">
        <v>355</v>
      </c>
      <c r="C330" s="137" t="s">
        <v>356</v>
      </c>
      <c r="D330" s="135" t="s">
        <v>55</v>
      </c>
      <c r="E330" s="22" t="s">
        <v>56</v>
      </c>
      <c r="F330" s="23">
        <v>46045</v>
      </c>
      <c r="G330" s="24">
        <v>1.0568</v>
      </c>
      <c r="H330" s="23"/>
      <c r="I330" s="24"/>
      <c r="J330" s="23"/>
      <c r="K330" s="24"/>
      <c r="L330" s="23"/>
      <c r="M330" s="24"/>
      <c r="N330" s="25"/>
      <c r="O330" s="24"/>
      <c r="P330" s="24"/>
      <c r="Q330" s="24"/>
      <c r="R330" s="24"/>
      <c r="S330" s="24"/>
      <c r="T330" s="26">
        <f t="shared" si="20"/>
        <v>1.0568</v>
      </c>
    </row>
    <row r="331" spans="2:20" x14ac:dyDescent="0.25">
      <c r="B331" s="134" t="s">
        <v>572</v>
      </c>
      <c r="C331" s="137" t="s">
        <v>599</v>
      </c>
      <c r="D331" s="135" t="s">
        <v>55</v>
      </c>
      <c r="E331" s="22" t="s">
        <v>56</v>
      </c>
      <c r="F331" s="23"/>
      <c r="G331" s="24"/>
      <c r="H331" s="23"/>
      <c r="I331" s="24"/>
      <c r="J331" s="23"/>
      <c r="K331" s="24"/>
      <c r="L331" s="23"/>
      <c r="M331" s="24"/>
      <c r="N331" s="25"/>
      <c r="O331" s="24"/>
      <c r="P331" s="140"/>
      <c r="Q331" s="140"/>
      <c r="R331" s="140"/>
      <c r="S331" s="140"/>
      <c r="T331" s="26">
        <f t="shared" si="20"/>
        <v>0</v>
      </c>
    </row>
    <row r="332" spans="2:20" x14ac:dyDescent="0.25">
      <c r="B332" s="134" t="s">
        <v>937</v>
      </c>
      <c r="C332" s="137" t="s">
        <v>600</v>
      </c>
      <c r="D332" s="135" t="s">
        <v>55</v>
      </c>
      <c r="E332" s="22" t="s">
        <v>56</v>
      </c>
      <c r="F332" s="23">
        <v>46072</v>
      </c>
      <c r="G332" s="24">
        <v>0.68</v>
      </c>
      <c r="H332" s="23"/>
      <c r="I332" s="24"/>
      <c r="J332" s="23"/>
      <c r="K332" s="24"/>
      <c r="L332" s="23"/>
      <c r="M332" s="24"/>
      <c r="N332" s="25"/>
      <c r="O332" s="24"/>
      <c r="P332" s="24"/>
      <c r="Q332" s="24"/>
      <c r="R332" s="24"/>
      <c r="S332" s="24"/>
      <c r="T332" s="26">
        <f t="shared" si="20"/>
        <v>0.68</v>
      </c>
    </row>
    <row r="333" spans="2:20" x14ac:dyDescent="0.25">
      <c r="B333" s="134" t="s">
        <v>559</v>
      </c>
      <c r="C333" s="137" t="s">
        <v>586</v>
      </c>
      <c r="D333" s="135" t="s">
        <v>55</v>
      </c>
      <c r="E333" s="22" t="s">
        <v>56</v>
      </c>
      <c r="F333" s="23">
        <v>46064</v>
      </c>
      <c r="G333" s="24">
        <v>0.29499999999999998</v>
      </c>
      <c r="H333" s="23"/>
      <c r="I333" s="24"/>
      <c r="J333" s="23"/>
      <c r="K333" s="24"/>
      <c r="L333" s="23"/>
      <c r="M333" s="24"/>
      <c r="N333" s="25"/>
      <c r="O333" s="24"/>
      <c r="P333" s="24"/>
      <c r="Q333" s="24"/>
      <c r="R333" s="24"/>
      <c r="S333" s="24"/>
      <c r="T333" s="26">
        <f t="shared" si="20"/>
        <v>0.29499999999999998</v>
      </c>
    </row>
    <row r="334" spans="2:20" x14ac:dyDescent="0.25">
      <c r="B334" s="134" t="s">
        <v>443</v>
      </c>
      <c r="C334" s="137" t="s">
        <v>444</v>
      </c>
      <c r="D334" s="135" t="s">
        <v>55</v>
      </c>
      <c r="E334" s="22" t="s">
        <v>56</v>
      </c>
      <c r="F334" s="23">
        <v>46070</v>
      </c>
      <c r="G334" s="24">
        <v>0.74</v>
      </c>
      <c r="H334" s="23"/>
      <c r="I334" s="24"/>
      <c r="J334" s="23"/>
      <c r="K334" s="24"/>
      <c r="L334" s="23"/>
      <c r="M334" s="24"/>
      <c r="N334" s="25"/>
      <c r="O334" s="24"/>
      <c r="P334" s="24"/>
      <c r="Q334" s="24"/>
      <c r="R334" s="24"/>
      <c r="S334" s="24"/>
      <c r="T334" s="26">
        <f t="shared" si="20"/>
        <v>0.74</v>
      </c>
    </row>
    <row r="335" spans="2:20" x14ac:dyDescent="0.25">
      <c r="B335" s="134" t="s">
        <v>571</v>
      </c>
      <c r="C335" s="137" t="s">
        <v>598</v>
      </c>
      <c r="D335" s="135" t="s">
        <v>55</v>
      </c>
      <c r="E335" s="22" t="s">
        <v>56</v>
      </c>
      <c r="F335" s="23">
        <v>46066</v>
      </c>
      <c r="G335" s="24">
        <v>0.62</v>
      </c>
      <c r="H335" s="23"/>
      <c r="I335" s="24"/>
      <c r="J335" s="23"/>
      <c r="K335" s="24"/>
      <c r="L335" s="23"/>
      <c r="M335" s="24"/>
      <c r="N335" s="25"/>
      <c r="O335" s="24"/>
      <c r="P335" s="24"/>
      <c r="Q335" s="24"/>
      <c r="R335" s="24"/>
      <c r="S335" s="24"/>
      <c r="T335" s="26">
        <f t="shared" si="20"/>
        <v>0.62</v>
      </c>
    </row>
    <row r="336" spans="2:20" x14ac:dyDescent="0.25">
      <c r="B336" s="134" t="s">
        <v>576</v>
      </c>
      <c r="C336" s="137" t="s">
        <v>603</v>
      </c>
      <c r="D336" s="135" t="s">
        <v>55</v>
      </c>
      <c r="E336" s="22" t="s">
        <v>56</v>
      </c>
      <c r="F336" s="23">
        <v>46052</v>
      </c>
      <c r="G336" s="24">
        <v>1.42</v>
      </c>
      <c r="H336" s="23"/>
      <c r="I336" s="24"/>
      <c r="J336" s="23"/>
      <c r="K336" s="24"/>
      <c r="L336" s="23"/>
      <c r="M336" s="24"/>
      <c r="N336" s="25"/>
      <c r="O336" s="24"/>
      <c r="P336" s="24"/>
      <c r="Q336" s="24"/>
      <c r="R336" s="24"/>
      <c r="S336" s="24"/>
      <c r="T336" s="26">
        <f t="shared" si="20"/>
        <v>1.42</v>
      </c>
    </row>
    <row r="337" spans="2:20" x14ac:dyDescent="0.25">
      <c r="B337" s="134" t="s">
        <v>569</v>
      </c>
      <c r="C337" s="137" t="s">
        <v>596</v>
      </c>
      <c r="D337" s="135" t="s">
        <v>55</v>
      </c>
      <c r="E337" s="22" t="s">
        <v>56</v>
      </c>
      <c r="F337" s="23">
        <v>46080</v>
      </c>
      <c r="G337" s="24">
        <v>1.38</v>
      </c>
      <c r="H337" s="23"/>
      <c r="I337" s="24"/>
      <c r="J337" s="23"/>
      <c r="K337" s="24"/>
      <c r="L337" s="23"/>
      <c r="M337" s="24"/>
      <c r="N337" s="25"/>
      <c r="O337" s="24"/>
      <c r="P337" s="24"/>
      <c r="Q337" s="24"/>
      <c r="R337" s="24"/>
      <c r="S337" s="24"/>
      <c r="T337" s="26">
        <f t="shared" si="20"/>
        <v>1.38</v>
      </c>
    </row>
    <row r="338" spans="2:20" x14ac:dyDescent="0.25">
      <c r="B338" s="134" t="s">
        <v>552</v>
      </c>
      <c r="C338" s="137" t="s">
        <v>579</v>
      </c>
      <c r="D338" s="135" t="s">
        <v>55</v>
      </c>
      <c r="E338" s="22" t="s">
        <v>56</v>
      </c>
      <c r="F338" s="23"/>
      <c r="G338" s="24"/>
      <c r="H338" s="23"/>
      <c r="I338" s="24"/>
      <c r="J338" s="23"/>
      <c r="K338" s="24"/>
      <c r="L338" s="23"/>
      <c r="M338" s="24"/>
      <c r="N338" s="25"/>
      <c r="O338" s="24"/>
      <c r="P338" s="24"/>
      <c r="Q338" s="24"/>
      <c r="R338" s="24"/>
      <c r="S338" s="24"/>
      <c r="T338" s="26">
        <f t="shared" si="20"/>
        <v>0</v>
      </c>
    </row>
    <row r="339" spans="2:20" x14ac:dyDescent="0.25">
      <c r="B339" s="134" t="s">
        <v>574</v>
      </c>
      <c r="C339" s="137" t="s">
        <v>601</v>
      </c>
      <c r="D339" s="135" t="s">
        <v>55</v>
      </c>
      <c r="E339" s="22" t="s">
        <v>56</v>
      </c>
      <c r="F339" s="23"/>
      <c r="G339" s="24"/>
      <c r="H339" s="23"/>
      <c r="I339" s="24"/>
      <c r="J339" s="23"/>
      <c r="K339" s="24"/>
      <c r="L339" s="23"/>
      <c r="M339" s="24"/>
      <c r="N339" s="25"/>
      <c r="O339" s="24"/>
      <c r="P339" s="24"/>
      <c r="Q339" s="24"/>
      <c r="R339" s="24"/>
      <c r="S339" s="24"/>
      <c r="T339" s="26">
        <f t="shared" si="20"/>
        <v>0</v>
      </c>
    </row>
    <row r="340" spans="2:20" x14ac:dyDescent="0.25">
      <c r="B340" s="134" t="s">
        <v>518</v>
      </c>
      <c r="C340" s="137" t="s">
        <v>519</v>
      </c>
      <c r="D340" s="135" t="s">
        <v>55</v>
      </c>
      <c r="E340" s="22" t="s">
        <v>56</v>
      </c>
      <c r="F340" s="23"/>
      <c r="G340" s="24"/>
      <c r="H340" s="23"/>
      <c r="I340" s="24"/>
      <c r="J340" s="23"/>
      <c r="K340" s="24"/>
      <c r="L340" s="23"/>
      <c r="M340" s="24"/>
      <c r="N340" s="25"/>
      <c r="O340" s="24"/>
      <c r="P340" s="24"/>
      <c r="Q340" s="24"/>
      <c r="R340" s="24"/>
      <c r="S340" s="24"/>
      <c r="T340" s="26">
        <f t="shared" si="20"/>
        <v>0</v>
      </c>
    </row>
    <row r="341" spans="2:20" x14ac:dyDescent="0.25">
      <c r="B341" s="134" t="s">
        <v>522</v>
      </c>
      <c r="C341" s="137" t="s">
        <v>523</v>
      </c>
      <c r="D341" s="135" t="s">
        <v>55</v>
      </c>
      <c r="E341" s="22" t="s">
        <v>56</v>
      </c>
      <c r="F341" s="23">
        <v>46063</v>
      </c>
      <c r="G341" s="24">
        <v>0.67</v>
      </c>
      <c r="H341" s="23"/>
      <c r="I341" s="24"/>
      <c r="J341" s="23"/>
      <c r="K341" s="24"/>
      <c r="L341" s="23"/>
      <c r="M341" s="24"/>
      <c r="N341" s="25"/>
      <c r="O341" s="24"/>
      <c r="P341" s="24"/>
      <c r="Q341" s="24"/>
      <c r="R341" s="24"/>
      <c r="S341" s="24"/>
      <c r="T341" s="26">
        <f t="shared" si="20"/>
        <v>0.67</v>
      </c>
    </row>
    <row r="342" spans="2:20" x14ac:dyDescent="0.25">
      <c r="B342" s="134" t="s">
        <v>631</v>
      </c>
      <c r="C342" s="137" t="s">
        <v>587</v>
      </c>
      <c r="D342" s="135" t="s">
        <v>55</v>
      </c>
      <c r="E342" s="22" t="s">
        <v>56</v>
      </c>
      <c r="F342" s="23"/>
      <c r="G342" s="24"/>
      <c r="H342" s="23"/>
      <c r="I342" s="24"/>
      <c r="J342" s="23"/>
      <c r="K342" s="24"/>
      <c r="L342" s="23"/>
      <c r="M342" s="24"/>
      <c r="N342" s="25"/>
      <c r="O342" s="24"/>
      <c r="P342" s="24"/>
      <c r="Q342" s="24"/>
      <c r="R342" s="24"/>
      <c r="S342" s="24"/>
      <c r="T342" s="26">
        <f t="shared" si="20"/>
        <v>0</v>
      </c>
    </row>
    <row r="343" spans="2:20" x14ac:dyDescent="0.25">
      <c r="B343" s="134" t="s">
        <v>536</v>
      </c>
      <c r="C343" s="137" t="s">
        <v>537</v>
      </c>
      <c r="D343" s="135" t="s">
        <v>55</v>
      </c>
      <c r="E343" s="22" t="s">
        <v>56</v>
      </c>
      <c r="F343" s="23"/>
      <c r="G343" s="24"/>
      <c r="H343" s="23"/>
      <c r="I343" s="24"/>
      <c r="J343" s="23"/>
      <c r="K343" s="24"/>
      <c r="L343" s="23"/>
      <c r="M343" s="24"/>
      <c r="N343" s="25"/>
      <c r="O343" s="24"/>
      <c r="P343" s="24"/>
      <c r="Q343" s="24"/>
      <c r="R343" s="24"/>
      <c r="S343" s="24"/>
      <c r="T343" s="26">
        <f t="shared" si="20"/>
        <v>0</v>
      </c>
    </row>
    <row r="344" spans="2:20" x14ac:dyDescent="0.25">
      <c r="B344" s="134" t="s">
        <v>538</v>
      </c>
      <c r="C344" s="137" t="s">
        <v>539</v>
      </c>
      <c r="D344" s="135" t="s">
        <v>55</v>
      </c>
      <c r="E344" s="22" t="s">
        <v>56</v>
      </c>
      <c r="F344" s="23">
        <v>46059</v>
      </c>
      <c r="G344" s="24">
        <v>0.45</v>
      </c>
      <c r="H344" s="23"/>
      <c r="I344" s="24"/>
      <c r="J344" s="23"/>
      <c r="K344" s="24"/>
      <c r="L344" s="23"/>
      <c r="M344" s="24"/>
      <c r="N344" s="25"/>
      <c r="O344" s="24"/>
      <c r="P344" s="24"/>
      <c r="Q344" s="24"/>
      <c r="R344" s="24"/>
      <c r="S344" s="24"/>
      <c r="T344" s="26">
        <f t="shared" si="20"/>
        <v>0.45</v>
      </c>
    </row>
  </sheetData>
  <sheetProtection algorithmName="SHA-512" hashValue="sTfcGTgNAADBstasHLe5lr5OzNQcM9KAfaxgUcqoX27Jv7yZ0OcVMBFarNZDVorxr/4hq9MtCRX6puNY0l13hQ==" saltValue="ay2UpNZn+mWiEAW72KUSVw==" spinCount="100000" sheet="1" objects="1" scenarios="1"/>
  <mergeCells count="4">
    <mergeCell ref="H9:I9"/>
    <mergeCell ref="J9:K9"/>
    <mergeCell ref="L9:M9"/>
    <mergeCell ref="F11:T11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05F076-CA93-4DF7-B7CF-34A75D22F2C9}">
  <dimension ref="A1:U344"/>
  <sheetViews>
    <sheetView showGridLines="0" zoomScale="85" zoomScaleNormal="85" workbookViewId="0">
      <pane xSplit="1" ySplit="12" topLeftCell="B61" activePane="bottomRight" state="frozen"/>
      <selection pane="topRight" activeCell="B1" sqref="B1"/>
      <selection pane="bottomLeft" activeCell="A13" sqref="A13"/>
      <selection pane="bottomRight" activeCell="G68" sqref="G68"/>
    </sheetView>
  </sheetViews>
  <sheetFormatPr defaultColWidth="0" defaultRowHeight="15" x14ac:dyDescent="0.25"/>
  <cols>
    <col min="1" max="1" width="3" customWidth="1"/>
    <col min="2" max="2" width="46.5703125" bestFit="1" customWidth="1"/>
    <col min="3" max="3" width="13.7109375" bestFit="1" customWidth="1"/>
    <col min="4" max="4" width="15.5703125" bestFit="1" customWidth="1"/>
    <col min="5" max="5" width="9.28515625" customWidth="1"/>
    <col min="6" max="6" width="9.7109375" customWidth="1"/>
    <col min="7" max="7" width="10.5703125" bestFit="1" customWidth="1"/>
    <col min="8" max="8" width="9.7109375" customWidth="1"/>
    <col min="9" max="9" width="9.28515625" customWidth="1"/>
    <col min="10" max="10" width="9.5703125" bestFit="1" customWidth="1"/>
    <col min="11" max="11" width="9.28515625" customWidth="1"/>
    <col min="12" max="12" width="10" customWidth="1"/>
    <col min="13" max="13" width="9.28515625" customWidth="1"/>
    <col min="14" max="14" width="10" customWidth="1"/>
    <col min="15" max="15" width="9.28515625" customWidth="1"/>
    <col min="16" max="16" width="0.5703125" customWidth="1"/>
    <col min="17" max="20" width="10.7109375" customWidth="1"/>
    <col min="21" max="21" width="3" customWidth="1"/>
    <col min="22" max="16384" width="9.28515625" hidden="1"/>
  </cols>
  <sheetData>
    <row r="1" spans="2:20" x14ac:dyDescent="0.25"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2:20" x14ac:dyDescent="0.25"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2:20" x14ac:dyDescent="0.25"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2:20" x14ac:dyDescent="0.25"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</row>
    <row r="5" spans="2:20" x14ac:dyDescent="0.25"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2:20" x14ac:dyDescent="0.25"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2:20" x14ac:dyDescent="0.25"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2:20" ht="49.5" customHeight="1" x14ac:dyDescent="0.25"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2:20" ht="15" customHeight="1" x14ac:dyDescent="0.25">
      <c r="H9" s="178"/>
      <c r="I9" s="178"/>
      <c r="J9" s="179"/>
      <c r="K9" s="179"/>
      <c r="L9" s="180" t="s">
        <v>0</v>
      </c>
      <c r="M9" s="180"/>
      <c r="N9" s="1"/>
      <c r="O9" s="2" t="s">
        <v>1</v>
      </c>
      <c r="P9" s="2"/>
      <c r="Q9" s="2"/>
      <c r="R9" s="2"/>
      <c r="S9" s="2"/>
      <c r="T9" s="3">
        <v>46038</v>
      </c>
    </row>
    <row r="10" spans="2:20" ht="3.75" customHeight="1" x14ac:dyDescent="0.25">
      <c r="F10" s="1"/>
      <c r="G10" s="1"/>
      <c r="H10" s="1"/>
      <c r="I10" s="1"/>
      <c r="J10" s="1"/>
      <c r="K10" s="1"/>
      <c r="L10" s="1"/>
      <c r="M10" s="1"/>
      <c r="N10" s="1"/>
      <c r="O10" s="2"/>
      <c r="P10" s="2"/>
      <c r="Q10" s="2"/>
      <c r="R10" s="2"/>
      <c r="S10" s="2"/>
      <c r="T10" s="3">
        <v>45600</v>
      </c>
    </row>
    <row r="11" spans="2:20" ht="50.25" customHeight="1" x14ac:dyDescent="0.25">
      <c r="B11" s="4" t="s">
        <v>2</v>
      </c>
      <c r="C11" s="5"/>
      <c r="D11" s="5"/>
      <c r="E11" s="5"/>
      <c r="F11" s="181" t="s">
        <v>962</v>
      </c>
      <c r="G11" s="181"/>
      <c r="H11" s="181"/>
      <c r="I11" s="181"/>
      <c r="J11" s="181"/>
      <c r="K11" s="181"/>
      <c r="L11" s="181"/>
      <c r="M11" s="181"/>
      <c r="N11" s="181"/>
      <c r="O11" s="181"/>
      <c r="P11" s="181"/>
      <c r="Q11" s="181"/>
      <c r="R11" s="181"/>
      <c r="S11" s="181"/>
      <c r="T11" s="177"/>
    </row>
    <row r="12" spans="2:20" x14ac:dyDescent="0.25">
      <c r="B12" s="7" t="s">
        <v>4</v>
      </c>
      <c r="C12" s="7" t="s">
        <v>5</v>
      </c>
      <c r="D12" s="7" t="s">
        <v>6</v>
      </c>
      <c r="E12" s="7" t="s">
        <v>7</v>
      </c>
      <c r="F12" s="8" t="s">
        <v>8</v>
      </c>
      <c r="G12" s="8"/>
      <c r="H12" s="8" t="s">
        <v>9</v>
      </c>
      <c r="I12" s="8"/>
      <c r="J12" s="8" t="s">
        <v>10</v>
      </c>
      <c r="K12" s="8"/>
      <c r="L12" s="8" t="s">
        <v>11</v>
      </c>
      <c r="M12" s="8"/>
      <c r="N12" s="8" t="s">
        <v>605</v>
      </c>
      <c r="O12" s="8"/>
      <c r="P12" s="8"/>
      <c r="Q12" s="8" t="s">
        <v>706</v>
      </c>
      <c r="R12" s="8" t="s">
        <v>707</v>
      </c>
      <c r="S12" s="8" t="s">
        <v>708</v>
      </c>
      <c r="T12" s="8" t="s">
        <v>705</v>
      </c>
    </row>
    <row r="13" spans="2:20" ht="6.75" customHeight="1" x14ac:dyDescent="0.25">
      <c r="B13" s="9"/>
      <c r="C13" s="9"/>
      <c r="D13" s="9"/>
      <c r="E13" s="10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</row>
    <row r="14" spans="2:20" x14ac:dyDescent="0.25">
      <c r="B14" s="117" t="s">
        <v>684</v>
      </c>
      <c r="C14" s="136" t="s">
        <v>18</v>
      </c>
      <c r="D14" s="14" t="s">
        <v>15</v>
      </c>
      <c r="E14" s="14" t="s">
        <v>16</v>
      </c>
      <c r="F14" s="15">
        <v>45761</v>
      </c>
      <c r="G14" s="16">
        <v>1.1299999999999999</v>
      </c>
      <c r="H14" s="15"/>
      <c r="I14" s="16"/>
      <c r="J14" s="15"/>
      <c r="K14" s="16"/>
      <c r="L14" s="15"/>
      <c r="M14" s="63"/>
      <c r="N14" s="17"/>
      <c r="O14" s="16"/>
      <c r="P14" s="16"/>
      <c r="Q14" s="152">
        <f t="shared" ref="Q14" si="0">IF(F14&lt;=Exp25Q1,G14,0)+IF(H14&lt;=Exp25Q1,I14,0)+IF(J14&lt;=Exp25Q1,K14,0)+IF(L14&lt;=Exp25Q1,M14,0)+IF(N14&lt;=Exp25Q1,O14,0)</f>
        <v>0</v>
      </c>
      <c r="R14" s="152">
        <f t="shared" ref="R14" si="1">IF(F14&lt;=Exp25H1,G14,0)+IF(H14&lt;=Exp25H1,I14,0)+IF(J14&lt;=Exp25H1,K14,0)+IF(L14&lt;=Exp25H1,M14,0)+IF(N14&lt;=Exp25H1,O14,0)</f>
        <v>1.1299999999999999</v>
      </c>
      <c r="S14" s="152">
        <f t="shared" ref="S14" si="2">IF(F14&lt;=Exp25Q3,G14,0)+IF(H14&lt;=Exp25Q3,I14,0)+IF(J14&lt;=Exp25Q3,K14,0)+IF(L14&lt;=Exp25Q3,M14,0)+IF(N14&lt;=Exp25Q3,O14,0)</f>
        <v>1.1299999999999999</v>
      </c>
      <c r="T14" s="18">
        <f t="shared" ref="T14" si="3">G14+I14+K14+M14+O14</f>
        <v>1.1299999999999999</v>
      </c>
    </row>
    <row r="15" spans="2:20" x14ac:dyDescent="0.25">
      <c r="B15" s="117" t="s">
        <v>19</v>
      </c>
      <c r="C15" s="136" t="s">
        <v>20</v>
      </c>
      <c r="D15" s="14" t="s">
        <v>15</v>
      </c>
      <c r="E15" s="14" t="s">
        <v>21</v>
      </c>
      <c r="F15" s="15">
        <v>45747</v>
      </c>
      <c r="G15" s="16">
        <v>0.9</v>
      </c>
      <c r="H15" s="15"/>
      <c r="I15" s="16"/>
      <c r="J15" s="15"/>
      <c r="K15" s="16"/>
      <c r="L15" s="15"/>
      <c r="M15" s="63"/>
      <c r="N15" s="17"/>
      <c r="O15" s="16"/>
      <c r="P15" s="16"/>
      <c r="Q15" s="152">
        <f t="shared" ref="Q15:Q79" si="4">IF(F15&lt;=Exp25Q1,G15,0)+IF(H15&lt;=Exp25Q1,I15,0)+IF(J15&lt;=Exp25Q1,K15,0)+IF(L15&lt;=Exp25Q1,M15,0)+IF(N15&lt;=Exp25Q1,O15,0)</f>
        <v>0</v>
      </c>
      <c r="R15" s="152">
        <f t="shared" ref="R15:R79" si="5">IF(F15&lt;=Exp25H1,G15,0)+IF(H15&lt;=Exp25H1,I15,0)+IF(J15&lt;=Exp25H1,K15,0)+IF(L15&lt;=Exp25H1,M15,0)+IF(N15&lt;=Exp25H1,O15,0)</f>
        <v>0.9</v>
      </c>
      <c r="S15" s="152">
        <f t="shared" ref="S15:S79" si="6">IF(F15&lt;=Exp25Q3,G15,0)+IF(H15&lt;=Exp25Q3,I15,0)+IF(J15&lt;=Exp25Q3,K15,0)+IF(L15&lt;=Exp25Q3,M15,0)+IF(N15&lt;=Exp25Q3,O15,0)</f>
        <v>0.9</v>
      </c>
      <c r="T15" s="18">
        <f t="shared" ref="T15:T79" si="7">G15+I15+K15+M15+O15</f>
        <v>0.9</v>
      </c>
    </row>
    <row r="16" spans="2:20" x14ac:dyDescent="0.25">
      <c r="B16" s="117" t="s">
        <v>715</v>
      </c>
      <c r="C16" s="136" t="s">
        <v>716</v>
      </c>
      <c r="D16" s="14" t="s">
        <v>15</v>
      </c>
      <c r="E16" s="14" t="s">
        <v>16</v>
      </c>
      <c r="F16" s="15">
        <v>45772</v>
      </c>
      <c r="G16" s="16">
        <v>0.75</v>
      </c>
      <c r="H16" s="15">
        <v>45882</v>
      </c>
      <c r="I16" s="16">
        <v>0.54</v>
      </c>
      <c r="J16" s="15"/>
      <c r="K16" s="16"/>
      <c r="L16" s="15"/>
      <c r="M16" s="63"/>
      <c r="N16" s="17"/>
      <c r="O16" s="16"/>
      <c r="P16" s="16"/>
      <c r="Q16" s="152">
        <f t="shared" si="4"/>
        <v>0</v>
      </c>
      <c r="R16" s="152">
        <f t="shared" si="5"/>
        <v>0.75</v>
      </c>
      <c r="S16" s="152">
        <f t="shared" si="6"/>
        <v>1.29</v>
      </c>
      <c r="T16" s="18">
        <f t="shared" si="7"/>
        <v>1.29</v>
      </c>
    </row>
    <row r="17" spans="2:20" x14ac:dyDescent="0.25">
      <c r="B17" s="117" t="s">
        <v>22</v>
      </c>
      <c r="C17" s="136" t="s">
        <v>23</v>
      </c>
      <c r="D17" s="14" t="s">
        <v>24</v>
      </c>
      <c r="E17" s="14" t="s">
        <v>16</v>
      </c>
      <c r="F17" s="15">
        <v>45810</v>
      </c>
      <c r="G17" s="16">
        <v>1.26</v>
      </c>
      <c r="H17" s="15"/>
      <c r="I17" s="16"/>
      <c r="J17" s="15"/>
      <c r="K17" s="16"/>
      <c r="L17" s="15"/>
      <c r="M17" s="63"/>
      <c r="N17" s="17"/>
      <c r="O17" s="16"/>
      <c r="P17" s="16"/>
      <c r="Q17" s="152">
        <f t="shared" si="4"/>
        <v>0</v>
      </c>
      <c r="R17" s="152">
        <f t="shared" si="5"/>
        <v>1.26</v>
      </c>
      <c r="S17" s="152">
        <f t="shared" si="6"/>
        <v>1.26</v>
      </c>
      <c r="T17" s="18">
        <f t="shared" si="7"/>
        <v>1.26</v>
      </c>
    </row>
    <row r="18" spans="2:20" x14ac:dyDescent="0.25">
      <c r="B18" s="117" t="s">
        <v>25</v>
      </c>
      <c r="C18" s="136" t="s">
        <v>26</v>
      </c>
      <c r="D18" s="14" t="s">
        <v>27</v>
      </c>
      <c r="E18" s="14" t="s">
        <v>16</v>
      </c>
      <c r="F18" s="15">
        <v>45806</v>
      </c>
      <c r="G18" s="16">
        <v>3.8</v>
      </c>
      <c r="H18" s="15"/>
      <c r="I18" s="16"/>
      <c r="J18" s="15"/>
      <c r="K18" s="16"/>
      <c r="L18" s="15"/>
      <c r="M18" s="63"/>
      <c r="N18" s="17"/>
      <c r="O18" s="16"/>
      <c r="P18" s="16"/>
      <c r="Q18" s="152">
        <f t="shared" si="4"/>
        <v>0</v>
      </c>
      <c r="R18" s="152">
        <f t="shared" si="5"/>
        <v>3.8</v>
      </c>
      <c r="S18" s="152">
        <f t="shared" si="6"/>
        <v>3.8</v>
      </c>
      <c r="T18" s="18">
        <f t="shared" si="7"/>
        <v>3.8</v>
      </c>
    </row>
    <row r="19" spans="2:20" x14ac:dyDescent="0.25">
      <c r="B19" s="117" t="s">
        <v>863</v>
      </c>
      <c r="C19" s="136" t="s">
        <v>864</v>
      </c>
      <c r="D19" s="14" t="s">
        <v>15</v>
      </c>
      <c r="E19" s="14" t="s">
        <v>16</v>
      </c>
      <c r="F19" s="15">
        <v>45678</v>
      </c>
      <c r="G19" s="16">
        <v>0.45400000000000001</v>
      </c>
      <c r="H19" s="15">
        <v>45839</v>
      </c>
      <c r="I19" s="16">
        <v>1.5569999999999999</v>
      </c>
      <c r="J19" s="15"/>
      <c r="K19" s="16"/>
      <c r="L19" s="15"/>
      <c r="M19" s="63"/>
      <c r="N19" s="17"/>
      <c r="O19" s="16"/>
      <c r="P19" s="16"/>
      <c r="Q19" s="152">
        <f t="shared" si="4"/>
        <v>0.45400000000000001</v>
      </c>
      <c r="R19" s="152">
        <f t="shared" si="5"/>
        <v>0.45400000000000001</v>
      </c>
      <c r="S19" s="152">
        <f t="shared" si="6"/>
        <v>2.0110000000000001</v>
      </c>
      <c r="T19" s="18">
        <f t="shared" si="7"/>
        <v>2.0110000000000001</v>
      </c>
    </row>
    <row r="20" spans="2:20" x14ac:dyDescent="0.25">
      <c r="B20" s="117" t="s">
        <v>28</v>
      </c>
      <c r="C20" s="136" t="s">
        <v>29</v>
      </c>
      <c r="D20" s="14" t="s">
        <v>15</v>
      </c>
      <c r="E20" s="14" t="s">
        <v>21</v>
      </c>
      <c r="F20" s="15">
        <v>45770</v>
      </c>
      <c r="G20" s="16">
        <v>1</v>
      </c>
      <c r="H20" s="15"/>
      <c r="I20" s="16"/>
      <c r="J20" s="15"/>
      <c r="K20" s="16"/>
      <c r="L20" s="15"/>
      <c r="M20" s="63"/>
      <c r="N20" s="17"/>
      <c r="O20" s="16"/>
      <c r="P20" s="16"/>
      <c r="Q20" s="152">
        <f t="shared" si="4"/>
        <v>0</v>
      </c>
      <c r="R20" s="152">
        <f t="shared" si="5"/>
        <v>1</v>
      </c>
      <c r="S20" s="152">
        <f t="shared" si="6"/>
        <v>1</v>
      </c>
      <c r="T20" s="18">
        <f t="shared" si="7"/>
        <v>1</v>
      </c>
    </row>
    <row r="21" spans="2:20" x14ac:dyDescent="0.25">
      <c r="B21" s="117" t="s">
        <v>30</v>
      </c>
      <c r="C21" s="136" t="s">
        <v>31</v>
      </c>
      <c r="D21" s="14" t="s">
        <v>15</v>
      </c>
      <c r="E21" s="14" t="s">
        <v>16</v>
      </c>
      <c r="F21" s="15">
        <v>45793</v>
      </c>
      <c r="G21" s="16">
        <v>2</v>
      </c>
      <c r="H21" s="15"/>
      <c r="I21" s="16"/>
      <c r="J21" s="15"/>
      <c r="K21" s="16"/>
      <c r="L21" s="15"/>
      <c r="M21" s="63"/>
      <c r="N21" s="17"/>
      <c r="O21" s="16"/>
      <c r="P21" s="16"/>
      <c r="Q21" s="152">
        <f t="shared" si="4"/>
        <v>0</v>
      </c>
      <c r="R21" s="152">
        <f t="shared" si="5"/>
        <v>2</v>
      </c>
      <c r="S21" s="152">
        <f t="shared" si="6"/>
        <v>2</v>
      </c>
      <c r="T21" s="18">
        <f t="shared" si="7"/>
        <v>2</v>
      </c>
    </row>
    <row r="22" spans="2:20" x14ac:dyDescent="0.25">
      <c r="B22" s="117" t="s">
        <v>32</v>
      </c>
      <c r="C22" s="136" t="s">
        <v>33</v>
      </c>
      <c r="D22" s="14" t="s">
        <v>15</v>
      </c>
      <c r="E22" s="14" t="s">
        <v>16</v>
      </c>
      <c r="F22" s="15">
        <v>45824</v>
      </c>
      <c r="G22" s="16">
        <v>0.19</v>
      </c>
      <c r="H22" s="15">
        <v>45903</v>
      </c>
      <c r="I22" s="16">
        <v>0.19</v>
      </c>
      <c r="J22" s="15"/>
      <c r="K22" s="16"/>
      <c r="L22" s="15"/>
      <c r="M22" s="63"/>
      <c r="N22" s="17"/>
      <c r="O22" s="16"/>
      <c r="P22" s="16"/>
      <c r="Q22" s="152">
        <f t="shared" si="4"/>
        <v>0</v>
      </c>
      <c r="R22" s="152">
        <f t="shared" si="5"/>
        <v>0.19</v>
      </c>
      <c r="S22" s="152">
        <f t="shared" si="6"/>
        <v>0.38</v>
      </c>
      <c r="T22" s="18">
        <f t="shared" si="7"/>
        <v>0.38</v>
      </c>
    </row>
    <row r="23" spans="2:20" x14ac:dyDescent="0.25">
      <c r="B23" s="117" t="s">
        <v>630</v>
      </c>
      <c r="C23" s="136" t="s">
        <v>625</v>
      </c>
      <c r="D23" s="14" t="s">
        <v>15</v>
      </c>
      <c r="E23" s="14" t="s">
        <v>16</v>
      </c>
      <c r="F23" s="175">
        <v>45769</v>
      </c>
      <c r="G23" s="154">
        <f>9.76*0.1</f>
        <v>0.97599999999999998</v>
      </c>
      <c r="H23" s="15"/>
      <c r="I23" s="16"/>
      <c r="J23" s="15"/>
      <c r="K23" s="16"/>
      <c r="L23" s="15"/>
      <c r="M23" s="63"/>
      <c r="N23" s="17"/>
      <c r="O23" s="16"/>
      <c r="P23" s="16"/>
      <c r="Q23" s="152">
        <f t="shared" si="4"/>
        <v>0</v>
      </c>
      <c r="R23" s="152">
        <f t="shared" si="5"/>
        <v>0.97599999999999998</v>
      </c>
      <c r="S23" s="152">
        <f t="shared" si="6"/>
        <v>0.97599999999999998</v>
      </c>
      <c r="T23" s="18">
        <f t="shared" si="7"/>
        <v>0.97599999999999998</v>
      </c>
    </row>
    <row r="24" spans="2:20" x14ac:dyDescent="0.25">
      <c r="B24" s="117" t="s">
        <v>34</v>
      </c>
      <c r="C24" s="136" t="s">
        <v>35</v>
      </c>
      <c r="D24" s="14" t="s">
        <v>27</v>
      </c>
      <c r="E24" s="14" t="s">
        <v>16</v>
      </c>
      <c r="F24" s="15">
        <v>45812</v>
      </c>
      <c r="G24" s="16">
        <v>2</v>
      </c>
      <c r="H24" s="15">
        <v>45994</v>
      </c>
      <c r="I24" s="16">
        <v>1.5</v>
      </c>
      <c r="J24" s="15"/>
      <c r="K24" s="16"/>
      <c r="L24" s="15"/>
      <c r="M24" s="63"/>
      <c r="N24" s="17"/>
      <c r="O24" s="16"/>
      <c r="P24" s="16"/>
      <c r="Q24" s="152">
        <f t="shared" si="4"/>
        <v>0</v>
      </c>
      <c r="R24" s="152">
        <f t="shared" si="5"/>
        <v>2</v>
      </c>
      <c r="S24" s="152">
        <f t="shared" si="6"/>
        <v>2</v>
      </c>
      <c r="T24" s="18">
        <f t="shared" si="7"/>
        <v>3.5</v>
      </c>
    </row>
    <row r="25" spans="2:20" x14ac:dyDescent="0.25">
      <c r="B25" s="117" t="s">
        <v>36</v>
      </c>
      <c r="C25" s="136" t="s">
        <v>37</v>
      </c>
      <c r="D25" s="14" t="s">
        <v>15</v>
      </c>
      <c r="E25" s="14" t="s">
        <v>16</v>
      </c>
      <c r="F25" s="15">
        <v>45758</v>
      </c>
      <c r="G25" s="16">
        <v>0.67</v>
      </c>
      <c r="H25" s="15">
        <v>45877</v>
      </c>
      <c r="I25" s="16">
        <v>0.51</v>
      </c>
      <c r="J25" s="15"/>
      <c r="K25" s="16"/>
      <c r="L25" s="15"/>
      <c r="M25" s="63"/>
      <c r="N25" s="17"/>
      <c r="O25" s="16"/>
      <c r="P25" s="16"/>
      <c r="Q25" s="152">
        <f t="shared" si="4"/>
        <v>0</v>
      </c>
      <c r="R25" s="152">
        <f t="shared" si="5"/>
        <v>0.67</v>
      </c>
      <c r="S25" s="152">
        <f t="shared" si="6"/>
        <v>1.1800000000000002</v>
      </c>
      <c r="T25" s="18">
        <f t="shared" si="7"/>
        <v>1.1800000000000002</v>
      </c>
    </row>
    <row r="26" spans="2:20" x14ac:dyDescent="0.25">
      <c r="B26" s="117" t="s">
        <v>41</v>
      </c>
      <c r="C26" s="136" t="s">
        <v>42</v>
      </c>
      <c r="D26" s="14" t="s">
        <v>24</v>
      </c>
      <c r="E26" s="14" t="s">
        <v>16</v>
      </c>
      <c r="F26" s="15">
        <v>45796</v>
      </c>
      <c r="G26" s="16">
        <v>3.3</v>
      </c>
      <c r="H26" s="15"/>
      <c r="I26" s="16"/>
      <c r="J26" s="15"/>
      <c r="K26" s="16"/>
      <c r="L26" s="15"/>
      <c r="M26" s="63"/>
      <c r="N26" s="17"/>
      <c r="O26" s="16"/>
      <c r="P26" s="16"/>
      <c r="Q26" s="152">
        <f t="shared" si="4"/>
        <v>0</v>
      </c>
      <c r="R26" s="152">
        <f t="shared" si="5"/>
        <v>3.3</v>
      </c>
      <c r="S26" s="152">
        <f t="shared" si="6"/>
        <v>3.3</v>
      </c>
      <c r="T26" s="18">
        <f t="shared" si="7"/>
        <v>3.3</v>
      </c>
    </row>
    <row r="27" spans="2:20" x14ac:dyDescent="0.25">
      <c r="B27" s="117" t="s">
        <v>43</v>
      </c>
      <c r="C27" s="136" t="s">
        <v>44</v>
      </c>
      <c r="D27" s="14" t="s">
        <v>24</v>
      </c>
      <c r="E27" s="14" t="s">
        <v>16</v>
      </c>
      <c r="F27" s="175">
        <v>45769</v>
      </c>
      <c r="G27" s="154">
        <f>2*0.99256284</f>
        <v>1.9851256799999999</v>
      </c>
      <c r="H27" s="15"/>
      <c r="I27" s="16"/>
      <c r="J27" s="15"/>
      <c r="K27" s="16"/>
      <c r="L27" s="15"/>
      <c r="M27" s="63"/>
      <c r="N27" s="17"/>
      <c r="O27" s="16"/>
      <c r="P27" s="16"/>
      <c r="Q27" s="152">
        <f t="shared" si="4"/>
        <v>0</v>
      </c>
      <c r="R27" s="152">
        <f t="shared" si="5"/>
        <v>1.9851256799999999</v>
      </c>
      <c r="S27" s="152">
        <f t="shared" si="6"/>
        <v>1.9851256799999999</v>
      </c>
      <c r="T27" s="18">
        <f t="shared" si="7"/>
        <v>1.9851256799999999</v>
      </c>
    </row>
    <row r="28" spans="2:20" x14ac:dyDescent="0.25">
      <c r="B28" s="117" t="s">
        <v>930</v>
      </c>
      <c r="C28" s="136" t="s">
        <v>931</v>
      </c>
      <c r="D28" s="14" t="s">
        <v>15</v>
      </c>
      <c r="E28" s="14" t="s">
        <v>56</v>
      </c>
      <c r="F28" s="15">
        <v>45705</v>
      </c>
      <c r="G28" s="16">
        <v>0.63</v>
      </c>
      <c r="H28" s="15">
        <v>45789</v>
      </c>
      <c r="I28" s="16">
        <v>0.63</v>
      </c>
      <c r="J28" s="15">
        <v>45856</v>
      </c>
      <c r="K28" s="16">
        <v>0.63</v>
      </c>
      <c r="L28" s="15">
        <v>45957</v>
      </c>
      <c r="M28" s="63">
        <v>0.63</v>
      </c>
      <c r="N28" s="17"/>
      <c r="O28" s="16"/>
      <c r="P28" s="16"/>
      <c r="Q28" s="152">
        <f t="shared" si="4"/>
        <v>0.63</v>
      </c>
      <c r="R28" s="152">
        <f t="shared" si="5"/>
        <v>1.26</v>
      </c>
      <c r="S28" s="152">
        <f t="shared" si="6"/>
        <v>1.8900000000000001</v>
      </c>
      <c r="T28" s="18">
        <f t="shared" si="7"/>
        <v>2.52</v>
      </c>
    </row>
    <row r="29" spans="2:20" x14ac:dyDescent="0.25">
      <c r="B29" s="117" t="s">
        <v>45</v>
      </c>
      <c r="C29" s="136" t="s">
        <v>46</v>
      </c>
      <c r="D29" s="14" t="s">
        <v>15</v>
      </c>
      <c r="E29" s="14" t="s">
        <v>16</v>
      </c>
      <c r="F29" s="15">
        <v>45776</v>
      </c>
      <c r="G29" s="16">
        <v>1.54</v>
      </c>
      <c r="H29" s="15">
        <v>45957</v>
      </c>
      <c r="I29" s="16">
        <v>0.44</v>
      </c>
      <c r="J29" s="15"/>
      <c r="K29" s="16"/>
      <c r="L29" s="15"/>
      <c r="M29" s="63"/>
      <c r="N29" s="17"/>
      <c r="O29" s="16"/>
      <c r="P29" s="16"/>
      <c r="Q29" s="152">
        <f t="shared" si="4"/>
        <v>0</v>
      </c>
      <c r="R29" s="152">
        <f t="shared" si="5"/>
        <v>1.54</v>
      </c>
      <c r="S29" s="152">
        <f t="shared" si="6"/>
        <v>1.54</v>
      </c>
      <c r="T29" s="18">
        <f t="shared" si="7"/>
        <v>1.98</v>
      </c>
    </row>
    <row r="30" spans="2:20" x14ac:dyDescent="0.25">
      <c r="B30" s="117" t="s">
        <v>828</v>
      </c>
      <c r="C30" s="136" t="s">
        <v>829</v>
      </c>
      <c r="D30" s="14" t="s">
        <v>15</v>
      </c>
      <c r="E30" s="14" t="s">
        <v>200</v>
      </c>
      <c r="F30" s="15">
        <v>45777</v>
      </c>
      <c r="G30" s="16">
        <v>8.5</v>
      </c>
      <c r="H30" s="15"/>
      <c r="I30" s="16"/>
      <c r="J30" s="15"/>
      <c r="K30" s="16"/>
      <c r="L30" s="15"/>
      <c r="M30" s="63"/>
      <c r="N30" s="17"/>
      <c r="O30" s="16"/>
      <c r="P30" s="16"/>
      <c r="Q30" s="152">
        <f t="shared" si="4"/>
        <v>0</v>
      </c>
      <c r="R30" s="152">
        <f t="shared" si="5"/>
        <v>8.5</v>
      </c>
      <c r="S30" s="152">
        <f t="shared" si="6"/>
        <v>8.5</v>
      </c>
      <c r="T30" s="18">
        <f t="shared" si="7"/>
        <v>8.5</v>
      </c>
    </row>
    <row r="31" spans="2:20" x14ac:dyDescent="0.25">
      <c r="B31" s="117" t="s">
        <v>47</v>
      </c>
      <c r="C31" s="136" t="s">
        <v>48</v>
      </c>
      <c r="D31" s="14" t="s">
        <v>15</v>
      </c>
      <c r="E31" s="14" t="s">
        <v>16</v>
      </c>
      <c r="F31" s="15">
        <v>45786</v>
      </c>
      <c r="G31" s="16">
        <v>15.4</v>
      </c>
      <c r="H31" s="15"/>
      <c r="I31" s="16"/>
      <c r="J31" s="15"/>
      <c r="K31" s="16"/>
      <c r="L31" s="15"/>
      <c r="M31" s="63"/>
      <c r="N31" s="17"/>
      <c r="O31" s="16"/>
      <c r="P31" s="16"/>
      <c r="Q31" s="152">
        <f t="shared" si="4"/>
        <v>0</v>
      </c>
      <c r="R31" s="152">
        <f t="shared" si="5"/>
        <v>15.4</v>
      </c>
      <c r="S31" s="152">
        <f t="shared" si="6"/>
        <v>15.4</v>
      </c>
      <c r="T31" s="18">
        <f t="shared" si="7"/>
        <v>15.4</v>
      </c>
    </row>
    <row r="32" spans="2:20" x14ac:dyDescent="0.25">
      <c r="B32" s="117" t="s">
        <v>49</v>
      </c>
      <c r="C32" s="136" t="s">
        <v>50</v>
      </c>
      <c r="D32" s="14" t="s">
        <v>24</v>
      </c>
      <c r="E32" s="14" t="s">
        <v>16</v>
      </c>
      <c r="F32" s="15"/>
      <c r="G32" s="16"/>
      <c r="H32" s="15"/>
      <c r="I32" s="16"/>
      <c r="J32" s="15"/>
      <c r="K32" s="16"/>
      <c r="L32" s="15"/>
      <c r="M32" s="63"/>
      <c r="N32" s="17"/>
      <c r="O32" s="16"/>
      <c r="P32" s="16"/>
      <c r="Q32" s="152">
        <f t="shared" si="4"/>
        <v>0</v>
      </c>
      <c r="R32" s="152">
        <f t="shared" si="5"/>
        <v>0</v>
      </c>
      <c r="S32" s="152">
        <f t="shared" si="6"/>
        <v>0</v>
      </c>
      <c r="T32" s="18">
        <f t="shared" si="7"/>
        <v>0</v>
      </c>
    </row>
    <row r="33" spans="1:21" x14ac:dyDescent="0.25">
      <c r="B33" s="117" t="s">
        <v>51</v>
      </c>
      <c r="C33" s="136" t="s">
        <v>52</v>
      </c>
      <c r="D33" s="14" t="s">
        <v>15</v>
      </c>
      <c r="E33" s="14" t="s">
        <v>16</v>
      </c>
      <c r="F33" s="15">
        <v>45672</v>
      </c>
      <c r="G33" s="16">
        <v>0.5</v>
      </c>
      <c r="H33" s="15">
        <v>45840</v>
      </c>
      <c r="I33" s="16">
        <v>0.89</v>
      </c>
      <c r="J33" s="15"/>
      <c r="K33" s="16"/>
      <c r="L33" s="15"/>
      <c r="M33" s="63"/>
      <c r="N33" s="17"/>
      <c r="O33" s="16"/>
      <c r="P33" s="16"/>
      <c r="Q33" s="152">
        <f t="shared" si="4"/>
        <v>0.5</v>
      </c>
      <c r="R33" s="152">
        <f t="shared" si="5"/>
        <v>0.5</v>
      </c>
      <c r="S33" s="152">
        <f t="shared" si="6"/>
        <v>1.3900000000000001</v>
      </c>
      <c r="T33" s="18">
        <f t="shared" si="7"/>
        <v>1.3900000000000001</v>
      </c>
    </row>
    <row r="34" spans="1:21" x14ac:dyDescent="0.25">
      <c r="B34" s="117" t="s">
        <v>896</v>
      </c>
      <c r="C34" s="136" t="s">
        <v>897</v>
      </c>
      <c r="D34" s="14" t="s">
        <v>15</v>
      </c>
      <c r="E34" s="14" t="s">
        <v>16</v>
      </c>
      <c r="F34" s="15">
        <v>45789</v>
      </c>
      <c r="G34" s="16">
        <v>0.2</v>
      </c>
      <c r="H34" s="15">
        <v>45875</v>
      </c>
      <c r="I34" s="16">
        <v>0.2</v>
      </c>
      <c r="J34" s="15"/>
      <c r="K34" s="16"/>
      <c r="L34" s="15"/>
      <c r="M34" s="63"/>
      <c r="N34" s="17"/>
      <c r="O34" s="16"/>
      <c r="P34" s="16"/>
      <c r="Q34" s="152">
        <f t="shared" si="4"/>
        <v>0</v>
      </c>
      <c r="R34" s="152">
        <f t="shared" si="5"/>
        <v>0.2</v>
      </c>
      <c r="S34" s="152">
        <f t="shared" si="6"/>
        <v>0.4</v>
      </c>
      <c r="T34" s="18">
        <f t="shared" si="7"/>
        <v>0.4</v>
      </c>
    </row>
    <row r="35" spans="1:21" x14ac:dyDescent="0.25">
      <c r="B35" s="117" t="s">
        <v>886</v>
      </c>
      <c r="C35" s="136" t="s">
        <v>887</v>
      </c>
      <c r="D35" s="14" t="s">
        <v>15</v>
      </c>
      <c r="E35" s="14" t="s">
        <v>16</v>
      </c>
      <c r="F35" s="15">
        <v>45747</v>
      </c>
      <c r="G35" s="16">
        <v>2.6</v>
      </c>
      <c r="H35" s="15"/>
      <c r="I35" s="16"/>
      <c r="J35" s="15"/>
      <c r="K35" s="16"/>
      <c r="L35" s="15"/>
      <c r="M35" s="63"/>
      <c r="N35" s="17"/>
      <c r="O35" s="16"/>
      <c r="P35" s="16"/>
      <c r="Q35" s="152">
        <f t="shared" si="4"/>
        <v>0</v>
      </c>
      <c r="R35" s="152">
        <f t="shared" si="5"/>
        <v>2.6</v>
      </c>
      <c r="S35" s="152">
        <f t="shared" si="6"/>
        <v>2.6</v>
      </c>
      <c r="T35" s="18">
        <f t="shared" si="7"/>
        <v>2.6</v>
      </c>
    </row>
    <row r="36" spans="1:21" x14ac:dyDescent="0.25">
      <c r="B36" s="117" t="s">
        <v>57</v>
      </c>
      <c r="C36" s="136" t="s">
        <v>58</v>
      </c>
      <c r="D36" s="14" t="s">
        <v>15</v>
      </c>
      <c r="E36" s="14" t="s">
        <v>56</v>
      </c>
      <c r="F36" s="175">
        <v>45729</v>
      </c>
      <c r="G36" s="154">
        <f>0.22*0.9815</f>
        <v>0.21593000000000001</v>
      </c>
      <c r="H36" s="15">
        <v>45890</v>
      </c>
      <c r="I36" s="16">
        <v>7.0000000000000007E-2</v>
      </c>
      <c r="J36" s="15"/>
      <c r="K36" s="16"/>
      <c r="L36" s="15"/>
      <c r="M36" s="63"/>
      <c r="N36" s="17"/>
      <c r="O36" s="16"/>
      <c r="P36" s="16"/>
      <c r="Q36" s="152">
        <f t="shared" si="4"/>
        <v>0.21593000000000001</v>
      </c>
      <c r="R36" s="152">
        <f t="shared" si="5"/>
        <v>0.21593000000000001</v>
      </c>
      <c r="S36" s="152">
        <f t="shared" si="6"/>
        <v>0.28593000000000002</v>
      </c>
      <c r="T36" s="18">
        <f t="shared" si="7"/>
        <v>0.28593000000000002</v>
      </c>
    </row>
    <row r="37" spans="1:21" x14ac:dyDescent="0.25">
      <c r="B37" s="117" t="s">
        <v>59</v>
      </c>
      <c r="C37" s="136" t="s">
        <v>60</v>
      </c>
      <c r="D37" s="14" t="s">
        <v>27</v>
      </c>
      <c r="E37" s="14" t="s">
        <v>16</v>
      </c>
      <c r="F37" s="15">
        <v>45783</v>
      </c>
      <c r="G37" s="16">
        <v>1</v>
      </c>
      <c r="H37" s="15">
        <v>45979</v>
      </c>
      <c r="I37" s="16">
        <v>0.15</v>
      </c>
      <c r="J37" s="15"/>
      <c r="K37" s="16"/>
      <c r="L37" s="15"/>
      <c r="M37" s="63"/>
      <c r="N37" s="17"/>
      <c r="O37" s="16"/>
      <c r="P37" s="16"/>
      <c r="Q37" s="152">
        <f t="shared" si="4"/>
        <v>0</v>
      </c>
      <c r="R37" s="152">
        <f t="shared" si="5"/>
        <v>1</v>
      </c>
      <c r="S37" s="152">
        <f t="shared" si="6"/>
        <v>1</v>
      </c>
      <c r="T37" s="18">
        <f t="shared" si="7"/>
        <v>1.1499999999999999</v>
      </c>
    </row>
    <row r="38" spans="1:21" x14ac:dyDescent="0.25">
      <c r="B38" s="117" t="s">
        <v>912</v>
      </c>
      <c r="C38" s="136" t="s">
        <v>910</v>
      </c>
      <c r="D38" s="14" t="s">
        <v>15</v>
      </c>
      <c r="E38" s="14" t="s">
        <v>911</v>
      </c>
      <c r="F38" s="15">
        <v>45735</v>
      </c>
      <c r="G38" s="16">
        <v>1120</v>
      </c>
      <c r="H38" s="15"/>
      <c r="I38" s="16"/>
      <c r="J38" s="15"/>
      <c r="K38" s="16"/>
      <c r="L38" s="15"/>
      <c r="M38" s="63"/>
      <c r="N38" s="17"/>
      <c r="O38" s="16"/>
      <c r="P38" s="16"/>
      <c r="Q38" s="152">
        <f t="shared" si="4"/>
        <v>1120</v>
      </c>
      <c r="R38" s="152">
        <f t="shared" si="5"/>
        <v>1120</v>
      </c>
      <c r="S38" s="152">
        <f t="shared" si="6"/>
        <v>1120</v>
      </c>
      <c r="T38" s="18">
        <f t="shared" si="7"/>
        <v>1120</v>
      </c>
    </row>
    <row r="39" spans="1:21" x14ac:dyDescent="0.25">
      <c r="B39" s="117" t="s">
        <v>63</v>
      </c>
      <c r="C39" s="136" t="s">
        <v>64</v>
      </c>
      <c r="D39" s="14" t="s">
        <v>15</v>
      </c>
      <c r="E39" s="14" t="s">
        <v>16</v>
      </c>
      <c r="F39" s="15">
        <v>45792</v>
      </c>
      <c r="G39" s="16">
        <f>0.275/1.1214</f>
        <v>0.2452291778134475</v>
      </c>
      <c r="H39" s="15">
        <v>45973</v>
      </c>
      <c r="I39" s="16">
        <f>0.275/1.1575</f>
        <v>0.2375809935205184</v>
      </c>
      <c r="J39" s="15"/>
      <c r="K39" s="16"/>
      <c r="L39" s="15"/>
      <c r="M39" s="63"/>
      <c r="N39" s="17"/>
      <c r="O39" s="16"/>
      <c r="P39" s="16"/>
      <c r="Q39" s="152">
        <f t="shared" si="4"/>
        <v>0</v>
      </c>
      <c r="R39" s="152">
        <f t="shared" si="5"/>
        <v>0.2452291778134475</v>
      </c>
      <c r="S39" s="152">
        <f t="shared" si="6"/>
        <v>0.2452291778134475</v>
      </c>
      <c r="T39" s="18">
        <f t="shared" si="7"/>
        <v>0.48281017133396587</v>
      </c>
    </row>
    <row r="40" spans="1:21" x14ac:dyDescent="0.25">
      <c r="A40" s="33"/>
      <c r="B40" s="117" t="s">
        <v>65</v>
      </c>
      <c r="C40" s="136" t="s">
        <v>66</v>
      </c>
      <c r="D40" s="14" t="s">
        <v>15</v>
      </c>
      <c r="E40" s="14" t="s">
        <v>16</v>
      </c>
      <c r="F40" s="15">
        <v>45698</v>
      </c>
      <c r="G40" s="16">
        <v>1.52</v>
      </c>
      <c r="H40" s="15">
        <v>45772</v>
      </c>
      <c r="I40" s="16">
        <v>1.84</v>
      </c>
      <c r="J40" s="15">
        <v>45866</v>
      </c>
      <c r="K40" s="16">
        <v>1.6</v>
      </c>
      <c r="L40" s="15">
        <v>45958</v>
      </c>
      <c r="M40" s="63">
        <v>1.6</v>
      </c>
      <c r="N40" s="17"/>
      <c r="O40" s="16"/>
      <c r="P40" s="16"/>
      <c r="Q40" s="152">
        <f t="shared" si="4"/>
        <v>1.52</v>
      </c>
      <c r="R40" s="152">
        <f t="shared" si="5"/>
        <v>3.3600000000000003</v>
      </c>
      <c r="S40" s="152">
        <f t="shared" si="6"/>
        <v>4.9600000000000009</v>
      </c>
      <c r="T40" s="18">
        <f t="shared" si="7"/>
        <v>6.5600000000000005</v>
      </c>
      <c r="U40" s="36"/>
    </row>
    <row r="41" spans="1:21" x14ac:dyDescent="0.25">
      <c r="B41" s="117" t="s">
        <v>782</v>
      </c>
      <c r="C41" s="136" t="s">
        <v>783</v>
      </c>
      <c r="D41" s="14" t="s">
        <v>15</v>
      </c>
      <c r="E41" s="14" t="s">
        <v>16</v>
      </c>
      <c r="F41" s="15">
        <v>45800</v>
      </c>
      <c r="G41" s="16">
        <v>1.96</v>
      </c>
      <c r="H41" s="15">
        <v>45896</v>
      </c>
      <c r="I41" s="16">
        <v>1.27</v>
      </c>
      <c r="J41" s="15"/>
      <c r="K41" s="16"/>
      <c r="L41" s="15"/>
      <c r="M41" s="63"/>
      <c r="N41" s="17"/>
      <c r="O41" s="16"/>
      <c r="P41" s="16"/>
      <c r="Q41" s="152">
        <f t="shared" si="4"/>
        <v>0</v>
      </c>
      <c r="R41" s="152">
        <f t="shared" si="5"/>
        <v>1.96</v>
      </c>
      <c r="S41" s="152">
        <f t="shared" si="6"/>
        <v>3.23</v>
      </c>
      <c r="T41" s="18">
        <f t="shared" si="7"/>
        <v>3.23</v>
      </c>
    </row>
    <row r="42" spans="1:21" x14ac:dyDescent="0.25">
      <c r="B42" s="117" t="s">
        <v>830</v>
      </c>
      <c r="C42" s="136" t="s">
        <v>831</v>
      </c>
      <c r="D42" s="14" t="s">
        <v>15</v>
      </c>
      <c r="E42" s="14" t="s">
        <v>200</v>
      </c>
      <c r="F42" s="15">
        <v>45771</v>
      </c>
      <c r="G42" s="16">
        <v>2.95</v>
      </c>
      <c r="H42" s="15">
        <v>45971</v>
      </c>
      <c r="I42" s="16">
        <v>2.95</v>
      </c>
      <c r="J42" s="15"/>
      <c r="K42" s="16"/>
      <c r="L42" s="15"/>
      <c r="M42" s="63"/>
      <c r="N42" s="17"/>
      <c r="O42" s="16"/>
      <c r="P42" s="16"/>
      <c r="Q42" s="152">
        <f t="shared" si="4"/>
        <v>0</v>
      </c>
      <c r="R42" s="152">
        <f t="shared" si="5"/>
        <v>2.95</v>
      </c>
      <c r="S42" s="152">
        <f t="shared" si="6"/>
        <v>2.95</v>
      </c>
      <c r="T42" s="18">
        <f t="shared" si="7"/>
        <v>5.9</v>
      </c>
    </row>
    <row r="43" spans="1:21" x14ac:dyDescent="0.25">
      <c r="A43" s="33"/>
      <c r="B43" s="117" t="s">
        <v>69</v>
      </c>
      <c r="C43" s="136" t="s">
        <v>70</v>
      </c>
      <c r="D43" s="14" t="s">
        <v>15</v>
      </c>
      <c r="E43" s="14" t="s">
        <v>56</v>
      </c>
      <c r="F43" s="15">
        <v>45708</v>
      </c>
      <c r="G43" s="16">
        <v>2.1</v>
      </c>
      <c r="H43" s="15">
        <v>45876</v>
      </c>
      <c r="I43" s="16">
        <v>1.03</v>
      </c>
      <c r="J43" s="15"/>
      <c r="K43" s="16"/>
      <c r="L43" s="15"/>
      <c r="M43" s="63"/>
      <c r="N43" s="17"/>
      <c r="O43" s="16"/>
      <c r="P43" s="16"/>
      <c r="Q43" s="152">
        <f t="shared" si="4"/>
        <v>2.1</v>
      </c>
      <c r="R43" s="152">
        <f t="shared" si="5"/>
        <v>2.1</v>
      </c>
      <c r="S43" s="152">
        <f t="shared" si="6"/>
        <v>3.13</v>
      </c>
      <c r="T43" s="18">
        <f t="shared" si="7"/>
        <v>3.13</v>
      </c>
      <c r="U43" s="36"/>
    </row>
    <row r="44" spans="1:21" x14ac:dyDescent="0.25">
      <c r="A44" s="33"/>
      <c r="B44" s="117" t="s">
        <v>826</v>
      </c>
      <c r="C44" s="136" t="s">
        <v>827</v>
      </c>
      <c r="D44" s="14" t="s">
        <v>15</v>
      </c>
      <c r="E44" s="14" t="s">
        <v>200</v>
      </c>
      <c r="F44" s="15">
        <v>45777</v>
      </c>
      <c r="G44" s="16">
        <v>1.5</v>
      </c>
      <c r="H44" s="15">
        <v>45950</v>
      </c>
      <c r="I44" s="16">
        <v>1.5</v>
      </c>
      <c r="J44" s="15"/>
      <c r="K44" s="16"/>
      <c r="L44" s="15"/>
      <c r="M44" s="63"/>
      <c r="N44" s="17"/>
      <c r="O44" s="16"/>
      <c r="P44" s="16"/>
      <c r="Q44" s="152">
        <f t="shared" si="4"/>
        <v>0</v>
      </c>
      <c r="R44" s="152">
        <f t="shared" si="5"/>
        <v>1.5</v>
      </c>
      <c r="S44" s="152">
        <f t="shared" si="6"/>
        <v>1.5</v>
      </c>
      <c r="T44" s="18">
        <f t="shared" si="7"/>
        <v>3</v>
      </c>
      <c r="U44" s="36"/>
    </row>
    <row r="45" spans="1:21" x14ac:dyDescent="0.25">
      <c r="A45" s="33"/>
      <c r="B45" s="117" t="s">
        <v>898</v>
      </c>
      <c r="C45" s="136" t="s">
        <v>899</v>
      </c>
      <c r="D45" s="14" t="s">
        <v>15</v>
      </c>
      <c r="E45" s="14" t="s">
        <v>16</v>
      </c>
      <c r="F45" s="15">
        <v>45751</v>
      </c>
      <c r="G45" s="16">
        <v>1.5</v>
      </c>
      <c r="H45" s="15"/>
      <c r="I45" s="16"/>
      <c r="J45" s="15"/>
      <c r="K45" s="16"/>
      <c r="L45" s="15"/>
      <c r="M45" s="63"/>
      <c r="N45" s="17"/>
      <c r="O45" s="16"/>
      <c r="P45" s="16"/>
      <c r="Q45" s="152">
        <f t="shared" si="4"/>
        <v>0</v>
      </c>
      <c r="R45" s="152">
        <f t="shared" si="5"/>
        <v>1.5</v>
      </c>
      <c r="S45" s="152">
        <f t="shared" si="6"/>
        <v>1.5</v>
      </c>
      <c r="T45" s="18">
        <f t="shared" si="7"/>
        <v>1.5</v>
      </c>
      <c r="U45" s="36"/>
    </row>
    <row r="46" spans="1:21" x14ac:dyDescent="0.25">
      <c r="A46" s="33"/>
      <c r="B46" s="117" t="s">
        <v>75</v>
      </c>
      <c r="C46" s="136" t="s">
        <v>76</v>
      </c>
      <c r="D46" s="14" t="s">
        <v>15</v>
      </c>
      <c r="E46" s="14" t="s">
        <v>761</v>
      </c>
      <c r="F46" s="15">
        <v>45757</v>
      </c>
      <c r="G46" s="16">
        <v>23.8</v>
      </c>
      <c r="H46" s="15">
        <v>45897</v>
      </c>
      <c r="I46" s="16">
        <v>13.1</v>
      </c>
      <c r="J46" s="15"/>
      <c r="K46" s="16"/>
      <c r="L46" s="15"/>
      <c r="M46" s="63"/>
      <c r="N46" s="17"/>
      <c r="O46" s="16"/>
      <c r="P46" s="16"/>
      <c r="Q46" s="152">
        <f t="shared" si="4"/>
        <v>0</v>
      </c>
      <c r="R46" s="152">
        <f t="shared" si="5"/>
        <v>23.8</v>
      </c>
      <c r="S46" s="152">
        <f t="shared" si="6"/>
        <v>36.9</v>
      </c>
      <c r="T46" s="18">
        <f t="shared" si="7"/>
        <v>36.9</v>
      </c>
      <c r="U46" s="36"/>
    </row>
    <row r="47" spans="1:21" x14ac:dyDescent="0.25">
      <c r="A47" s="33"/>
      <c r="B47" s="117" t="s">
        <v>78</v>
      </c>
      <c r="C47" s="136" t="s">
        <v>79</v>
      </c>
      <c r="D47" s="14" t="s">
        <v>24</v>
      </c>
      <c r="E47" s="14" t="s">
        <v>16</v>
      </c>
      <c r="F47" s="15">
        <v>45782</v>
      </c>
      <c r="G47" s="16">
        <v>2.15</v>
      </c>
      <c r="H47" s="15"/>
      <c r="I47" s="16"/>
      <c r="J47" s="15"/>
      <c r="K47" s="16"/>
      <c r="L47" s="15"/>
      <c r="M47" s="63"/>
      <c r="N47" s="17"/>
      <c r="O47" s="16"/>
      <c r="P47" s="16"/>
      <c r="Q47" s="152">
        <f t="shared" si="4"/>
        <v>0</v>
      </c>
      <c r="R47" s="152">
        <f t="shared" si="5"/>
        <v>2.15</v>
      </c>
      <c r="S47" s="152">
        <f t="shared" si="6"/>
        <v>2.15</v>
      </c>
      <c r="T47" s="18">
        <f t="shared" si="7"/>
        <v>2.15</v>
      </c>
      <c r="U47" s="36"/>
    </row>
    <row r="48" spans="1:21" x14ac:dyDescent="0.25">
      <c r="B48" s="117" t="s">
        <v>82</v>
      </c>
      <c r="C48" s="136" t="s">
        <v>83</v>
      </c>
      <c r="D48" s="14" t="s">
        <v>15</v>
      </c>
      <c r="E48" s="14" t="s">
        <v>761</v>
      </c>
      <c r="F48" s="15">
        <v>45764</v>
      </c>
      <c r="G48" s="16">
        <v>20.6</v>
      </c>
      <c r="H48" s="15">
        <v>45953</v>
      </c>
      <c r="I48" s="16">
        <v>13.5</v>
      </c>
      <c r="J48" s="15"/>
      <c r="K48" s="16"/>
      <c r="L48" s="15"/>
      <c r="M48" s="63"/>
      <c r="N48" s="17"/>
      <c r="O48" s="16"/>
      <c r="P48" s="16"/>
      <c r="Q48" s="152">
        <f t="shared" si="4"/>
        <v>0</v>
      </c>
      <c r="R48" s="152">
        <f t="shared" si="5"/>
        <v>20.6</v>
      </c>
      <c r="S48" s="152">
        <f t="shared" si="6"/>
        <v>20.6</v>
      </c>
      <c r="T48" s="18">
        <f t="shared" si="7"/>
        <v>34.1</v>
      </c>
    </row>
    <row r="49" spans="2:20" x14ac:dyDescent="0.25">
      <c r="B49" s="117" t="s">
        <v>964</v>
      </c>
      <c r="C49" s="136" t="s">
        <v>965</v>
      </c>
      <c r="D49" s="14" t="s">
        <v>941</v>
      </c>
      <c r="E49" s="14" t="s">
        <v>16</v>
      </c>
      <c r="F49" s="15">
        <v>45796</v>
      </c>
      <c r="G49" s="16">
        <v>0.86</v>
      </c>
      <c r="H49" s="15"/>
      <c r="I49" s="16"/>
      <c r="J49" s="15"/>
      <c r="K49" s="16"/>
      <c r="L49" s="15"/>
      <c r="M49" s="63"/>
      <c r="N49" s="17"/>
      <c r="O49" s="16"/>
      <c r="P49" s="16"/>
      <c r="Q49" s="152">
        <f t="shared" ref="Q49" si="8">IF(F49&lt;=Exp25Q1,G49,0)+IF(H49&lt;=Exp25Q1,I49,0)+IF(J49&lt;=Exp25Q1,K49,0)+IF(L49&lt;=Exp25Q1,M49,0)+IF(N49&lt;=Exp25Q1,O49,0)</f>
        <v>0</v>
      </c>
      <c r="R49" s="152">
        <f t="shared" ref="R49" si="9">IF(F49&lt;=Exp25H1,G49,0)+IF(H49&lt;=Exp25H1,I49,0)+IF(J49&lt;=Exp25H1,K49,0)+IF(L49&lt;=Exp25H1,M49,0)+IF(N49&lt;=Exp25H1,O49,0)</f>
        <v>0.86</v>
      </c>
      <c r="S49" s="152">
        <f t="shared" ref="S49" si="10">IF(F49&lt;=Exp25Q3,G49,0)+IF(H49&lt;=Exp25Q3,I49,0)+IF(J49&lt;=Exp25Q3,K49,0)+IF(L49&lt;=Exp25Q3,M49,0)+IF(N49&lt;=Exp25Q3,O49,0)</f>
        <v>0.86</v>
      </c>
      <c r="T49" s="18">
        <f t="shared" ref="T49" si="11">G49+I49+K49+M49+O49</f>
        <v>0.86</v>
      </c>
    </row>
    <row r="50" spans="2:20" x14ac:dyDescent="0.25">
      <c r="B50" s="117" t="s">
        <v>86</v>
      </c>
      <c r="C50" s="136" t="s">
        <v>87</v>
      </c>
      <c r="D50" s="14" t="s">
        <v>15</v>
      </c>
      <c r="E50" s="14" t="s">
        <v>16</v>
      </c>
      <c r="F50" s="15">
        <v>45755</v>
      </c>
      <c r="G50" s="16">
        <v>0.41</v>
      </c>
      <c r="H50" s="15">
        <v>45966</v>
      </c>
      <c r="I50" s="16">
        <v>0.32</v>
      </c>
      <c r="J50" s="15"/>
      <c r="K50" s="16"/>
      <c r="L50" s="15"/>
      <c r="M50" s="63"/>
      <c r="N50" s="17"/>
      <c r="O50" s="16"/>
      <c r="P50" s="16"/>
      <c r="Q50" s="152">
        <f t="shared" si="4"/>
        <v>0</v>
      </c>
      <c r="R50" s="152">
        <f t="shared" si="5"/>
        <v>0.41</v>
      </c>
      <c r="S50" s="152">
        <f t="shared" si="6"/>
        <v>0.41</v>
      </c>
      <c r="T50" s="18">
        <f t="shared" si="7"/>
        <v>0.73</v>
      </c>
    </row>
    <row r="51" spans="2:20" x14ac:dyDescent="0.25">
      <c r="B51" s="117" t="s">
        <v>88</v>
      </c>
      <c r="C51" s="136" t="s">
        <v>940</v>
      </c>
      <c r="D51" s="14" t="s">
        <v>941</v>
      </c>
      <c r="E51" s="14" t="s">
        <v>16</v>
      </c>
      <c r="F51" s="15">
        <v>45796</v>
      </c>
      <c r="G51" s="16">
        <v>0.6</v>
      </c>
      <c r="H51" s="15">
        <v>45985</v>
      </c>
      <c r="I51" s="16">
        <v>0.46</v>
      </c>
      <c r="J51" s="15"/>
      <c r="K51" s="16"/>
      <c r="L51" s="15"/>
      <c r="M51" s="63"/>
      <c r="N51" s="17"/>
      <c r="O51" s="16"/>
      <c r="P51" s="16"/>
      <c r="Q51" s="152">
        <f t="shared" si="4"/>
        <v>0</v>
      </c>
      <c r="R51" s="152">
        <f t="shared" si="5"/>
        <v>0.6</v>
      </c>
      <c r="S51" s="152">
        <f t="shared" si="6"/>
        <v>0.6</v>
      </c>
      <c r="T51" s="18">
        <f t="shared" si="7"/>
        <v>1.06</v>
      </c>
    </row>
    <row r="52" spans="2:20" x14ac:dyDescent="0.25">
      <c r="B52" s="117" t="s">
        <v>814</v>
      </c>
      <c r="C52" s="136" t="s">
        <v>815</v>
      </c>
      <c r="D52" s="14" t="s">
        <v>15</v>
      </c>
      <c r="E52" s="14" t="s">
        <v>16</v>
      </c>
      <c r="F52" s="15">
        <v>45742</v>
      </c>
      <c r="G52" s="16">
        <v>0.1244</v>
      </c>
      <c r="H52" s="15">
        <v>45896</v>
      </c>
      <c r="I52" s="16">
        <v>7.0000000000000007E-2</v>
      </c>
      <c r="J52" s="15"/>
      <c r="K52" s="16"/>
      <c r="L52" s="15"/>
      <c r="M52" s="63"/>
      <c r="N52" s="17"/>
      <c r="O52" s="16"/>
      <c r="P52" s="16"/>
      <c r="Q52" s="152">
        <f t="shared" si="4"/>
        <v>0</v>
      </c>
      <c r="R52" s="152">
        <f t="shared" si="5"/>
        <v>0.1244</v>
      </c>
      <c r="S52" s="152">
        <f t="shared" si="6"/>
        <v>0.19440000000000002</v>
      </c>
      <c r="T52" s="18">
        <f t="shared" si="7"/>
        <v>0.19440000000000002</v>
      </c>
    </row>
    <row r="53" spans="2:20" x14ac:dyDescent="0.25">
      <c r="B53" s="117" t="s">
        <v>90</v>
      </c>
      <c r="C53" s="136" t="s">
        <v>91</v>
      </c>
      <c r="D53" s="14" t="s">
        <v>15</v>
      </c>
      <c r="E53" s="14" t="s">
        <v>16</v>
      </c>
      <c r="F53" s="15">
        <v>45776</v>
      </c>
      <c r="G53" s="16">
        <v>0.11</v>
      </c>
      <c r="H53" s="15">
        <v>45959</v>
      </c>
      <c r="I53" s="16">
        <v>0.115</v>
      </c>
      <c r="J53" s="15"/>
      <c r="K53" s="16"/>
      <c r="L53" s="15"/>
      <c r="M53" s="63"/>
      <c r="N53" s="17"/>
      <c r="O53" s="16"/>
      <c r="P53" s="16"/>
      <c r="Q53" s="152">
        <f t="shared" si="4"/>
        <v>0</v>
      </c>
      <c r="R53" s="152">
        <f t="shared" si="5"/>
        <v>0.11</v>
      </c>
      <c r="S53" s="152">
        <f t="shared" si="6"/>
        <v>0.11</v>
      </c>
      <c r="T53" s="18">
        <f t="shared" si="7"/>
        <v>0.22500000000000001</v>
      </c>
    </row>
    <row r="54" spans="2:20" x14ac:dyDescent="0.25">
      <c r="B54" s="117" t="s">
        <v>812</v>
      </c>
      <c r="C54" s="136" t="s">
        <v>813</v>
      </c>
      <c r="D54" s="14" t="s">
        <v>15</v>
      </c>
      <c r="E54" s="14" t="s">
        <v>16</v>
      </c>
      <c r="F54" s="15">
        <v>45777</v>
      </c>
      <c r="G54" s="16">
        <v>0.28000000000000003</v>
      </c>
      <c r="H54" s="15">
        <v>45932</v>
      </c>
      <c r="I54" s="16">
        <v>0.25</v>
      </c>
      <c r="J54" s="15"/>
      <c r="K54" s="16"/>
      <c r="L54" s="15"/>
      <c r="M54" s="63"/>
      <c r="N54" s="17"/>
      <c r="O54" s="16"/>
      <c r="P54" s="16"/>
      <c r="Q54" s="152">
        <f t="shared" si="4"/>
        <v>0</v>
      </c>
      <c r="R54" s="152">
        <f t="shared" si="5"/>
        <v>0.28000000000000003</v>
      </c>
      <c r="S54" s="152">
        <f t="shared" si="6"/>
        <v>0.28000000000000003</v>
      </c>
      <c r="T54" s="18">
        <f t="shared" si="7"/>
        <v>0.53</v>
      </c>
    </row>
    <row r="55" spans="2:20" x14ac:dyDescent="0.25">
      <c r="B55" s="117" t="s">
        <v>94</v>
      </c>
      <c r="C55" s="136" t="s">
        <v>95</v>
      </c>
      <c r="D55" s="14" t="s">
        <v>15</v>
      </c>
      <c r="E55" s="14" t="s">
        <v>16</v>
      </c>
      <c r="F55" s="15">
        <v>45748</v>
      </c>
      <c r="G55" s="16">
        <v>0.12347370000000001</v>
      </c>
      <c r="H55" s="15">
        <v>45831</v>
      </c>
      <c r="I55" s="16">
        <v>0.15029783999999999</v>
      </c>
      <c r="J55" s="15">
        <v>45989</v>
      </c>
      <c r="K55" s="16">
        <v>0.30121020999999998</v>
      </c>
      <c r="L55" s="15"/>
      <c r="M55" s="63"/>
      <c r="N55" s="17"/>
      <c r="O55" s="16"/>
      <c r="P55" s="16"/>
      <c r="Q55" s="152">
        <f t="shared" si="4"/>
        <v>0</v>
      </c>
      <c r="R55" s="152">
        <f t="shared" si="5"/>
        <v>0.12347370000000001</v>
      </c>
      <c r="S55" s="152">
        <f t="shared" si="6"/>
        <v>0.27377153999999998</v>
      </c>
      <c r="T55" s="18">
        <f t="shared" si="7"/>
        <v>0.57498174999999996</v>
      </c>
    </row>
    <row r="56" spans="2:20" x14ac:dyDescent="0.25">
      <c r="B56" s="117" t="s">
        <v>96</v>
      </c>
      <c r="C56" s="136" t="s">
        <v>97</v>
      </c>
      <c r="D56" s="14" t="s">
        <v>15</v>
      </c>
      <c r="E56" s="14" t="s">
        <v>761</v>
      </c>
      <c r="F56" s="15">
        <v>45715</v>
      </c>
      <c r="G56" s="16">
        <v>5.5</v>
      </c>
      <c r="H56" s="15">
        <v>45876</v>
      </c>
      <c r="I56" s="16">
        <v>3</v>
      </c>
      <c r="J56" s="15"/>
      <c r="K56" s="16"/>
      <c r="L56" s="15"/>
      <c r="M56" s="63"/>
      <c r="N56" s="17"/>
      <c r="O56" s="16"/>
      <c r="P56" s="16"/>
      <c r="Q56" s="152">
        <f t="shared" si="4"/>
        <v>5.5</v>
      </c>
      <c r="R56" s="152">
        <f t="shared" si="5"/>
        <v>5.5</v>
      </c>
      <c r="S56" s="152">
        <f t="shared" si="6"/>
        <v>8.5</v>
      </c>
      <c r="T56" s="18">
        <f t="shared" si="7"/>
        <v>8.5</v>
      </c>
    </row>
    <row r="57" spans="2:20" x14ac:dyDescent="0.25">
      <c r="B57" s="117" t="s">
        <v>98</v>
      </c>
      <c r="C57" s="136" t="s">
        <v>99</v>
      </c>
      <c r="D57" s="14" t="s">
        <v>15</v>
      </c>
      <c r="E57" s="14" t="s">
        <v>16</v>
      </c>
      <c r="F57" s="15">
        <v>45782</v>
      </c>
      <c r="G57" s="16">
        <v>2.25</v>
      </c>
      <c r="H57" s="15"/>
      <c r="I57" s="16"/>
      <c r="J57" s="15"/>
      <c r="K57" s="16"/>
      <c r="L57" s="15"/>
      <c r="M57" s="63"/>
      <c r="N57" s="17"/>
      <c r="O57" s="16"/>
      <c r="P57" s="16"/>
      <c r="Q57" s="152">
        <f t="shared" si="4"/>
        <v>0</v>
      </c>
      <c r="R57" s="152">
        <f t="shared" si="5"/>
        <v>2.25</v>
      </c>
      <c r="S57" s="152">
        <f t="shared" si="6"/>
        <v>2.25</v>
      </c>
      <c r="T57" s="18">
        <f t="shared" si="7"/>
        <v>2.25</v>
      </c>
    </row>
    <row r="58" spans="2:20" x14ac:dyDescent="0.25">
      <c r="B58" s="117" t="s">
        <v>804</v>
      </c>
      <c r="C58" s="136" t="s">
        <v>805</v>
      </c>
      <c r="D58" s="14" t="s">
        <v>15</v>
      </c>
      <c r="E58" s="14" t="s">
        <v>16</v>
      </c>
      <c r="F58" s="15">
        <v>45755</v>
      </c>
      <c r="G58" s="16">
        <v>5.5</v>
      </c>
      <c r="H58" s="15"/>
      <c r="I58" s="16"/>
      <c r="J58" s="15"/>
      <c r="K58" s="16"/>
      <c r="L58" s="15"/>
      <c r="M58" s="63"/>
      <c r="N58" s="17"/>
      <c r="O58" s="16"/>
      <c r="P58" s="16"/>
      <c r="Q58" s="152">
        <f t="shared" si="4"/>
        <v>0</v>
      </c>
      <c r="R58" s="152">
        <f t="shared" si="5"/>
        <v>5.5</v>
      </c>
      <c r="S58" s="152">
        <f t="shared" si="6"/>
        <v>5.5</v>
      </c>
      <c r="T58" s="18">
        <f t="shared" si="7"/>
        <v>5.5</v>
      </c>
    </row>
    <row r="59" spans="2:20" x14ac:dyDescent="0.25">
      <c r="B59" s="117" t="s">
        <v>100</v>
      </c>
      <c r="C59" s="136" t="s">
        <v>101</v>
      </c>
      <c r="D59" s="14" t="s">
        <v>15</v>
      </c>
      <c r="E59" s="14" t="s">
        <v>16</v>
      </c>
      <c r="F59" s="15">
        <v>45775</v>
      </c>
      <c r="G59" s="16">
        <v>0.11</v>
      </c>
      <c r="H59" s="15"/>
      <c r="I59" s="16"/>
      <c r="J59" s="15"/>
      <c r="K59" s="16"/>
      <c r="L59" s="15"/>
      <c r="M59" s="63"/>
      <c r="N59" s="17"/>
      <c r="O59" s="16"/>
      <c r="P59" s="16"/>
      <c r="Q59" s="152">
        <f t="shared" si="4"/>
        <v>0</v>
      </c>
      <c r="R59" s="152">
        <f t="shared" si="5"/>
        <v>0.11</v>
      </c>
      <c r="S59" s="152">
        <f t="shared" si="6"/>
        <v>0.11</v>
      </c>
      <c r="T59" s="18">
        <f t="shared" si="7"/>
        <v>0.11</v>
      </c>
    </row>
    <row r="60" spans="2:20" x14ac:dyDescent="0.25">
      <c r="B60" s="117" t="s">
        <v>777</v>
      </c>
      <c r="C60" s="136" t="s">
        <v>778</v>
      </c>
      <c r="D60" s="14" t="s">
        <v>15</v>
      </c>
      <c r="E60" s="14" t="s">
        <v>16</v>
      </c>
      <c r="F60" s="15">
        <v>45772</v>
      </c>
      <c r="G60" s="16">
        <v>2.1800000000000002</v>
      </c>
      <c r="H60" s="15"/>
      <c r="I60" s="16"/>
      <c r="J60" s="15"/>
      <c r="K60" s="16"/>
      <c r="L60" s="15"/>
      <c r="M60" s="63"/>
      <c r="N60" s="17"/>
      <c r="O60" s="16"/>
      <c r="P60" s="16"/>
      <c r="Q60" s="152">
        <f t="shared" si="4"/>
        <v>0</v>
      </c>
      <c r="R60" s="152">
        <f t="shared" si="5"/>
        <v>2.1800000000000002</v>
      </c>
      <c r="S60" s="152">
        <f t="shared" si="6"/>
        <v>2.1800000000000002</v>
      </c>
      <c r="T60" s="18">
        <f t="shared" si="7"/>
        <v>2.1800000000000002</v>
      </c>
    </row>
    <row r="61" spans="2:20" x14ac:dyDescent="0.25">
      <c r="B61" s="117" t="s">
        <v>865</v>
      </c>
      <c r="C61" s="136" t="s">
        <v>866</v>
      </c>
      <c r="D61" s="14" t="s">
        <v>15</v>
      </c>
      <c r="E61" s="14" t="s">
        <v>16</v>
      </c>
      <c r="F61" s="15">
        <v>45769</v>
      </c>
      <c r="G61" s="16">
        <v>1</v>
      </c>
      <c r="H61" s="15"/>
      <c r="I61" s="16"/>
      <c r="J61" s="15"/>
      <c r="K61" s="16"/>
      <c r="L61" s="15"/>
      <c r="M61" s="63"/>
      <c r="N61" s="17"/>
      <c r="O61" s="16"/>
      <c r="P61" s="16"/>
      <c r="Q61" s="152">
        <f t="shared" si="4"/>
        <v>0</v>
      </c>
      <c r="R61" s="152">
        <f t="shared" si="5"/>
        <v>1</v>
      </c>
      <c r="S61" s="152">
        <f t="shared" si="6"/>
        <v>1</v>
      </c>
      <c r="T61" s="18">
        <f t="shared" si="7"/>
        <v>1</v>
      </c>
    </row>
    <row r="62" spans="2:20" x14ac:dyDescent="0.25">
      <c r="B62" s="117" t="s">
        <v>104</v>
      </c>
      <c r="C62" s="136" t="s">
        <v>105</v>
      </c>
      <c r="D62" s="14" t="s">
        <v>27</v>
      </c>
      <c r="E62" s="14" t="s">
        <v>16</v>
      </c>
      <c r="F62" s="15">
        <v>45793</v>
      </c>
      <c r="G62" s="16">
        <v>1.9</v>
      </c>
      <c r="H62" s="15"/>
      <c r="I62" s="16"/>
      <c r="J62" s="15"/>
      <c r="K62" s="16"/>
      <c r="L62" s="15"/>
      <c r="M62" s="63"/>
      <c r="N62" s="17"/>
      <c r="O62" s="16"/>
      <c r="P62" s="16"/>
      <c r="Q62" s="152">
        <f t="shared" si="4"/>
        <v>0</v>
      </c>
      <c r="R62" s="152">
        <f t="shared" si="5"/>
        <v>1.9</v>
      </c>
      <c r="S62" s="152">
        <f t="shared" si="6"/>
        <v>1.9</v>
      </c>
      <c r="T62" s="18">
        <f t="shared" si="7"/>
        <v>1.9</v>
      </c>
    </row>
    <row r="63" spans="2:20" x14ac:dyDescent="0.25">
      <c r="B63" s="117" t="s">
        <v>108</v>
      </c>
      <c r="C63" s="136" t="s">
        <v>109</v>
      </c>
      <c r="D63" s="14" t="s">
        <v>15</v>
      </c>
      <c r="E63" s="14" t="s">
        <v>16</v>
      </c>
      <c r="F63" s="15">
        <v>45792</v>
      </c>
      <c r="G63" s="16">
        <v>4.3</v>
      </c>
      <c r="H63" s="15"/>
      <c r="I63" s="16"/>
      <c r="J63" s="15"/>
      <c r="K63" s="16"/>
      <c r="L63" s="15"/>
      <c r="M63" s="63"/>
      <c r="N63" s="17"/>
      <c r="O63" s="16"/>
      <c r="P63" s="16"/>
      <c r="Q63" s="152">
        <f t="shared" si="4"/>
        <v>0</v>
      </c>
      <c r="R63" s="152">
        <f t="shared" si="5"/>
        <v>4.3</v>
      </c>
      <c r="S63" s="152">
        <f t="shared" si="6"/>
        <v>4.3</v>
      </c>
      <c r="T63" s="18">
        <f t="shared" si="7"/>
        <v>4.3</v>
      </c>
    </row>
    <row r="64" spans="2:20" x14ac:dyDescent="0.25">
      <c r="B64" s="117" t="s">
        <v>110</v>
      </c>
      <c r="C64" s="136" t="s">
        <v>111</v>
      </c>
      <c r="D64" s="14" t="s">
        <v>24</v>
      </c>
      <c r="E64" s="14" t="s">
        <v>16</v>
      </c>
      <c r="F64" s="15">
        <v>45796</v>
      </c>
      <c r="G64" s="16">
        <v>4.79</v>
      </c>
      <c r="H64" s="15">
        <v>45926</v>
      </c>
      <c r="I64" s="16">
        <v>2.59</v>
      </c>
      <c r="J64" s="15"/>
      <c r="K64" s="16"/>
      <c r="L64" s="15"/>
      <c r="M64" s="63"/>
      <c r="N64" s="17"/>
      <c r="O64" s="16"/>
      <c r="P64" s="16"/>
      <c r="Q64" s="152">
        <f t="shared" si="4"/>
        <v>0</v>
      </c>
      <c r="R64" s="152">
        <f t="shared" si="5"/>
        <v>4.79</v>
      </c>
      <c r="S64" s="152">
        <f t="shared" si="6"/>
        <v>4.79</v>
      </c>
      <c r="T64" s="18">
        <f t="shared" si="7"/>
        <v>7.38</v>
      </c>
    </row>
    <row r="65" spans="2:20" x14ac:dyDescent="0.25">
      <c r="B65" s="117" t="s">
        <v>832</v>
      </c>
      <c r="C65" s="136" t="s">
        <v>833</v>
      </c>
      <c r="D65" s="14" t="s">
        <v>15</v>
      </c>
      <c r="E65" s="14" t="s">
        <v>200</v>
      </c>
      <c r="F65" s="15"/>
      <c r="G65" s="16"/>
      <c r="H65" s="15"/>
      <c r="I65" s="16"/>
      <c r="J65" s="15"/>
      <c r="K65" s="16"/>
      <c r="L65" s="15"/>
      <c r="M65" s="63"/>
      <c r="N65" s="17"/>
      <c r="O65" s="16"/>
      <c r="P65" s="16"/>
      <c r="Q65" s="152">
        <f t="shared" si="4"/>
        <v>0</v>
      </c>
      <c r="R65" s="152">
        <f t="shared" si="5"/>
        <v>0</v>
      </c>
      <c r="S65" s="152">
        <f t="shared" si="6"/>
        <v>0</v>
      </c>
      <c r="T65" s="18">
        <f t="shared" si="7"/>
        <v>0</v>
      </c>
    </row>
    <row r="66" spans="2:20" x14ac:dyDescent="0.25">
      <c r="B66" s="117" t="s">
        <v>114</v>
      </c>
      <c r="C66" s="136" t="s">
        <v>115</v>
      </c>
      <c r="D66" s="14" t="s">
        <v>24</v>
      </c>
      <c r="E66" s="14" t="s">
        <v>16</v>
      </c>
      <c r="F66" s="15">
        <v>45818</v>
      </c>
      <c r="G66" s="16">
        <v>0.06</v>
      </c>
      <c r="H66" s="15">
        <v>45926</v>
      </c>
      <c r="I66" s="16">
        <v>0.02</v>
      </c>
      <c r="J66" s="15"/>
      <c r="K66" s="16"/>
      <c r="L66" s="15"/>
      <c r="M66" s="63"/>
      <c r="N66" s="17"/>
      <c r="O66" s="16"/>
      <c r="P66" s="16"/>
      <c r="Q66" s="152">
        <f t="shared" si="4"/>
        <v>0</v>
      </c>
      <c r="R66" s="152">
        <f t="shared" si="5"/>
        <v>0.06</v>
      </c>
      <c r="S66" s="152">
        <f t="shared" si="6"/>
        <v>0.06</v>
      </c>
      <c r="T66" s="18">
        <f t="shared" si="7"/>
        <v>0.08</v>
      </c>
    </row>
    <row r="67" spans="2:20" x14ac:dyDescent="0.25">
      <c r="B67" s="117" t="s">
        <v>120</v>
      </c>
      <c r="C67" s="136" t="s">
        <v>121</v>
      </c>
      <c r="D67" s="14" t="s">
        <v>24</v>
      </c>
      <c r="E67" s="14" t="s">
        <v>16</v>
      </c>
      <c r="F67" s="15">
        <v>45782</v>
      </c>
      <c r="G67" s="16">
        <v>2</v>
      </c>
      <c r="H67" s="15"/>
      <c r="I67" s="16"/>
      <c r="J67" s="15"/>
      <c r="K67" s="16"/>
      <c r="L67" s="15"/>
      <c r="M67" s="63"/>
      <c r="N67" s="17"/>
      <c r="O67" s="16"/>
      <c r="P67" s="16"/>
      <c r="Q67" s="152">
        <f t="shared" si="4"/>
        <v>0</v>
      </c>
      <c r="R67" s="152">
        <f t="shared" si="5"/>
        <v>2</v>
      </c>
      <c r="S67" s="152">
        <f t="shared" si="6"/>
        <v>2</v>
      </c>
      <c r="T67" s="18">
        <f t="shared" si="7"/>
        <v>2</v>
      </c>
    </row>
    <row r="68" spans="2:20" x14ac:dyDescent="0.25">
      <c r="B68" s="117" t="s">
        <v>122</v>
      </c>
      <c r="C68" s="136" t="s">
        <v>123</v>
      </c>
      <c r="D68" s="14" t="s">
        <v>15</v>
      </c>
      <c r="E68" s="14" t="s">
        <v>761</v>
      </c>
      <c r="F68" s="15">
        <v>45708</v>
      </c>
      <c r="G68" s="16">
        <f>0.08*100/1.0434*0.82838</f>
        <v>6.3513896875598999</v>
      </c>
      <c r="H68" s="15">
        <v>45792</v>
      </c>
      <c r="I68" s="16">
        <f>0.08*100/1.1214*0.8415</f>
        <v>6.0032102728731944</v>
      </c>
      <c r="J68" s="15">
        <v>45883</v>
      </c>
      <c r="K68" s="16">
        <f>0.0832*100/1.1711*0.8631</f>
        <v>6.1318350268977886</v>
      </c>
      <c r="L68" s="15">
        <v>45974</v>
      </c>
      <c r="M68" s="16">
        <f>0.0832*100/1.1576*0.8823</f>
        <v>6.3413407049067043</v>
      </c>
      <c r="N68" s="17"/>
      <c r="O68" s="16"/>
      <c r="P68" s="16"/>
      <c r="Q68" s="152">
        <f t="shared" si="4"/>
        <v>6.3513896875598999</v>
      </c>
      <c r="R68" s="152">
        <f t="shared" si="5"/>
        <v>12.354599960433095</v>
      </c>
      <c r="S68" s="152">
        <f t="shared" si="6"/>
        <v>18.486434987330885</v>
      </c>
      <c r="T68" s="18">
        <f t="shared" si="7"/>
        <v>24.827775692237587</v>
      </c>
    </row>
    <row r="69" spans="2:20" x14ac:dyDescent="0.25">
      <c r="B69" s="117" t="s">
        <v>966</v>
      </c>
      <c r="C69" s="136" t="s">
        <v>967</v>
      </c>
      <c r="D69" s="14" t="s">
        <v>941</v>
      </c>
      <c r="E69" s="14" t="s">
        <v>16</v>
      </c>
      <c r="F69" s="15">
        <v>45796</v>
      </c>
      <c r="G69" s="16">
        <v>0.6</v>
      </c>
      <c r="H69" s="15">
        <v>45985</v>
      </c>
      <c r="I69" s="16">
        <v>0.1</v>
      </c>
      <c r="J69" s="15"/>
      <c r="K69" s="16"/>
      <c r="L69" s="15"/>
      <c r="M69" s="16"/>
      <c r="N69" s="17"/>
      <c r="O69" s="16"/>
      <c r="P69" s="16"/>
      <c r="Q69" s="152">
        <f t="shared" ref="Q69" si="12">IF(F69&lt;=Exp25Q1,G69,0)+IF(H69&lt;=Exp25Q1,I69,0)+IF(J69&lt;=Exp25Q1,K69,0)+IF(L69&lt;=Exp25Q1,M69,0)+IF(N69&lt;=Exp25Q1,O69,0)</f>
        <v>0</v>
      </c>
      <c r="R69" s="152">
        <f t="shared" ref="R69" si="13">IF(F69&lt;=Exp25H1,G69,0)+IF(H69&lt;=Exp25H1,I69,0)+IF(J69&lt;=Exp25H1,K69,0)+IF(L69&lt;=Exp25H1,M69,0)+IF(N69&lt;=Exp25H1,O69,0)</f>
        <v>0.6</v>
      </c>
      <c r="S69" s="152">
        <f t="shared" ref="S69" si="14">IF(F69&lt;=Exp25Q3,G69,0)+IF(H69&lt;=Exp25Q3,I69,0)+IF(J69&lt;=Exp25Q3,K69,0)+IF(L69&lt;=Exp25Q3,M69,0)+IF(N69&lt;=Exp25Q3,O69,0)</f>
        <v>0.6</v>
      </c>
      <c r="T69" s="18">
        <f t="shared" ref="T69" si="15">G69+I69+K69+M69+O69</f>
        <v>0.7</v>
      </c>
    </row>
    <row r="70" spans="2:20" x14ac:dyDescent="0.25">
      <c r="B70" s="117" t="s">
        <v>126</v>
      </c>
      <c r="C70" s="136" t="s">
        <v>127</v>
      </c>
      <c r="D70" s="14" t="s">
        <v>27</v>
      </c>
      <c r="E70" s="14" t="s">
        <v>16</v>
      </c>
      <c r="F70" s="15"/>
      <c r="G70" s="16"/>
      <c r="H70" s="15"/>
      <c r="I70" s="16"/>
      <c r="J70" s="15"/>
      <c r="K70" s="16"/>
      <c r="L70" s="15"/>
      <c r="M70" s="63"/>
      <c r="N70" s="17"/>
      <c r="O70" s="16"/>
      <c r="P70" s="16"/>
      <c r="Q70" s="152">
        <f t="shared" si="4"/>
        <v>0</v>
      </c>
      <c r="R70" s="152">
        <f t="shared" si="5"/>
        <v>0</v>
      </c>
      <c r="S70" s="152">
        <f t="shared" si="6"/>
        <v>0</v>
      </c>
      <c r="T70" s="18">
        <f t="shared" si="7"/>
        <v>0</v>
      </c>
    </row>
    <row r="71" spans="2:20" x14ac:dyDescent="0.25">
      <c r="B71" s="117" t="s">
        <v>902</v>
      </c>
      <c r="C71" s="136" t="s">
        <v>903</v>
      </c>
      <c r="D71" s="14" t="s">
        <v>15</v>
      </c>
      <c r="E71" s="14" t="s">
        <v>16</v>
      </c>
      <c r="F71" s="15">
        <v>45800</v>
      </c>
      <c r="G71" s="16">
        <v>2.1</v>
      </c>
      <c r="H71" s="15"/>
      <c r="I71" s="16"/>
      <c r="J71" s="15"/>
      <c r="K71" s="16"/>
      <c r="L71" s="15"/>
      <c r="M71" s="63"/>
      <c r="N71" s="17"/>
      <c r="O71" s="16"/>
      <c r="P71" s="16"/>
      <c r="Q71" s="152">
        <f t="shared" si="4"/>
        <v>0</v>
      </c>
      <c r="R71" s="152">
        <f t="shared" si="5"/>
        <v>2.1</v>
      </c>
      <c r="S71" s="152">
        <f t="shared" si="6"/>
        <v>2.1</v>
      </c>
      <c r="T71" s="18">
        <f t="shared" si="7"/>
        <v>2.1</v>
      </c>
    </row>
    <row r="72" spans="2:20" x14ac:dyDescent="0.25">
      <c r="B72" s="117" t="s">
        <v>128</v>
      </c>
      <c r="C72" s="136" t="s">
        <v>129</v>
      </c>
      <c r="D72" s="14" t="s">
        <v>15</v>
      </c>
      <c r="E72" s="14" t="s">
        <v>761</v>
      </c>
      <c r="F72" s="15">
        <v>45743</v>
      </c>
      <c r="G72" s="16">
        <v>60.06</v>
      </c>
      <c r="H72" s="15">
        <v>45834</v>
      </c>
      <c r="I72" s="16">
        <v>60.06</v>
      </c>
      <c r="J72" s="15">
        <v>45932</v>
      </c>
      <c r="K72" s="16">
        <v>60.06</v>
      </c>
      <c r="L72" s="15"/>
      <c r="M72" s="63"/>
      <c r="N72" s="17"/>
      <c r="O72" s="16"/>
      <c r="P72" s="16"/>
      <c r="Q72" s="152">
        <f t="shared" si="4"/>
        <v>0</v>
      </c>
      <c r="R72" s="152">
        <f t="shared" si="5"/>
        <v>60.06</v>
      </c>
      <c r="S72" s="152">
        <f t="shared" si="6"/>
        <v>120.12</v>
      </c>
      <c r="T72" s="18">
        <f t="shared" si="7"/>
        <v>180.18</v>
      </c>
    </row>
    <row r="73" spans="2:20" x14ac:dyDescent="0.25">
      <c r="B73" s="117" t="s">
        <v>130</v>
      </c>
      <c r="C73" s="136" t="s">
        <v>131</v>
      </c>
      <c r="D73" s="14" t="s">
        <v>15</v>
      </c>
      <c r="E73" s="14" t="s">
        <v>761</v>
      </c>
      <c r="F73" s="15">
        <v>45650</v>
      </c>
      <c r="G73" s="16">
        <v>2.4</v>
      </c>
      <c r="H73" s="15">
        <v>45876</v>
      </c>
      <c r="I73" s="16">
        <v>5.76</v>
      </c>
      <c r="J73" s="15"/>
      <c r="K73" s="16"/>
      <c r="L73" s="15"/>
      <c r="M73" s="63"/>
      <c r="N73" s="17"/>
      <c r="O73" s="16"/>
      <c r="P73" s="16"/>
      <c r="Q73" s="152">
        <f t="shared" si="4"/>
        <v>2.4</v>
      </c>
      <c r="R73" s="152">
        <f t="shared" si="5"/>
        <v>2.4</v>
      </c>
      <c r="S73" s="152">
        <f t="shared" si="6"/>
        <v>8.16</v>
      </c>
      <c r="T73" s="18">
        <f t="shared" si="7"/>
        <v>8.16</v>
      </c>
    </row>
    <row r="74" spans="2:20" x14ac:dyDescent="0.25">
      <c r="B74" s="117" t="s">
        <v>132</v>
      </c>
      <c r="C74" s="136" t="s">
        <v>133</v>
      </c>
      <c r="D74" s="14" t="s">
        <v>15</v>
      </c>
      <c r="E74" s="14" t="s">
        <v>16</v>
      </c>
      <c r="F74" s="15">
        <v>45769</v>
      </c>
      <c r="G74" s="16">
        <v>0.28639999999999999</v>
      </c>
      <c r="H74" s="15">
        <v>45966</v>
      </c>
      <c r="I74" s="16">
        <v>0.16789999999999999</v>
      </c>
      <c r="J74" s="15"/>
      <c r="K74" s="16"/>
      <c r="L74" s="15"/>
      <c r="M74" s="63"/>
      <c r="N74" s="17"/>
      <c r="O74" s="16"/>
      <c r="P74" s="16"/>
      <c r="Q74" s="152">
        <f t="shared" si="4"/>
        <v>0</v>
      </c>
      <c r="R74" s="152">
        <f t="shared" si="5"/>
        <v>0.28639999999999999</v>
      </c>
      <c r="S74" s="152">
        <f t="shared" si="6"/>
        <v>0.28639999999999999</v>
      </c>
      <c r="T74" s="18">
        <f t="shared" si="7"/>
        <v>0.45429999999999998</v>
      </c>
    </row>
    <row r="75" spans="2:20" x14ac:dyDescent="0.25">
      <c r="B75" s="117" t="s">
        <v>608</v>
      </c>
      <c r="C75" s="136" t="s">
        <v>134</v>
      </c>
      <c r="D75" s="14" t="s">
        <v>24</v>
      </c>
      <c r="E75" s="14" t="s">
        <v>16</v>
      </c>
      <c r="F75" s="15">
        <v>45797</v>
      </c>
      <c r="G75" s="16">
        <v>3.4</v>
      </c>
      <c r="H75" s="15"/>
      <c r="I75" s="16"/>
      <c r="J75" s="15"/>
      <c r="K75" s="16"/>
      <c r="L75" s="15"/>
      <c r="M75" s="63"/>
      <c r="N75" s="17"/>
      <c r="O75" s="16"/>
      <c r="P75" s="16"/>
      <c r="Q75" s="152">
        <f t="shared" si="4"/>
        <v>0</v>
      </c>
      <c r="R75" s="152">
        <f t="shared" si="5"/>
        <v>3.4</v>
      </c>
      <c r="S75" s="152">
        <f t="shared" si="6"/>
        <v>3.4</v>
      </c>
      <c r="T75" s="18">
        <f t="shared" si="7"/>
        <v>3.4</v>
      </c>
    </row>
    <row r="76" spans="2:20" x14ac:dyDescent="0.25">
      <c r="B76" s="117" t="s">
        <v>135</v>
      </c>
      <c r="C76" s="136" t="s">
        <v>136</v>
      </c>
      <c r="D76" s="14" t="s">
        <v>24</v>
      </c>
      <c r="E76" s="14" t="s">
        <v>16</v>
      </c>
      <c r="F76" s="175">
        <v>45807</v>
      </c>
      <c r="G76" s="154">
        <f>0.92*0.98271976</f>
        <v>0.90410217920000013</v>
      </c>
      <c r="H76" s="15"/>
      <c r="I76" s="16"/>
      <c r="J76" s="15"/>
      <c r="K76" s="16"/>
      <c r="L76" s="15"/>
      <c r="M76" s="63"/>
      <c r="N76" s="17"/>
      <c r="O76" s="16"/>
      <c r="P76" s="16"/>
      <c r="Q76" s="152">
        <f t="shared" si="4"/>
        <v>0</v>
      </c>
      <c r="R76" s="152">
        <f t="shared" si="5"/>
        <v>0.90410217920000013</v>
      </c>
      <c r="S76" s="152">
        <f t="shared" si="6"/>
        <v>0.90410217920000013</v>
      </c>
      <c r="T76" s="18">
        <f t="shared" si="7"/>
        <v>0.90410217920000013</v>
      </c>
    </row>
    <row r="77" spans="2:20" x14ac:dyDescent="0.25">
      <c r="B77" s="117" t="s">
        <v>610</v>
      </c>
      <c r="C77" s="136" t="s">
        <v>326</v>
      </c>
      <c r="D77" s="45" t="s">
        <v>15</v>
      </c>
      <c r="E77" s="45" t="s">
        <v>16</v>
      </c>
      <c r="F77" s="15"/>
      <c r="G77" s="16"/>
      <c r="H77" s="15"/>
      <c r="I77" s="16"/>
      <c r="J77" s="15"/>
      <c r="K77" s="16"/>
      <c r="L77" s="15"/>
      <c r="M77" s="63"/>
      <c r="N77" s="17"/>
      <c r="O77" s="16"/>
      <c r="P77" s="16"/>
      <c r="Q77" s="152">
        <f t="shared" si="4"/>
        <v>0</v>
      </c>
      <c r="R77" s="152">
        <f t="shared" si="5"/>
        <v>0</v>
      </c>
      <c r="S77" s="152">
        <f t="shared" si="6"/>
        <v>0</v>
      </c>
      <c r="T77" s="18">
        <f t="shared" si="7"/>
        <v>0</v>
      </c>
    </row>
    <row r="78" spans="2:20" x14ac:dyDescent="0.25">
      <c r="B78" s="117" t="s">
        <v>139</v>
      </c>
      <c r="C78" s="136" t="s">
        <v>140</v>
      </c>
      <c r="D78" s="14" t="s">
        <v>15</v>
      </c>
      <c r="E78" s="14" t="s">
        <v>761</v>
      </c>
      <c r="F78" s="15">
        <v>45778</v>
      </c>
      <c r="G78" s="16">
        <v>3</v>
      </c>
      <c r="H78" s="15">
        <v>45918</v>
      </c>
      <c r="I78" s="16">
        <v>1.83</v>
      </c>
      <c r="J78" s="15"/>
      <c r="K78" s="16"/>
      <c r="L78" s="15"/>
      <c r="M78" s="63"/>
      <c r="N78" s="17"/>
      <c r="O78" s="16"/>
      <c r="P78" s="16"/>
      <c r="Q78" s="152">
        <f t="shared" si="4"/>
        <v>0</v>
      </c>
      <c r="R78" s="152">
        <f t="shared" si="5"/>
        <v>3</v>
      </c>
      <c r="S78" s="152">
        <f t="shared" si="6"/>
        <v>4.83</v>
      </c>
      <c r="T78" s="18">
        <f t="shared" si="7"/>
        <v>4.83</v>
      </c>
    </row>
    <row r="79" spans="2:20" x14ac:dyDescent="0.25">
      <c r="B79" s="117" t="s">
        <v>151</v>
      </c>
      <c r="C79" s="136" t="s">
        <v>152</v>
      </c>
      <c r="D79" s="14" t="s">
        <v>15</v>
      </c>
      <c r="E79" s="14" t="s">
        <v>16</v>
      </c>
      <c r="F79" s="15">
        <v>45806</v>
      </c>
      <c r="G79" s="16">
        <v>1.03</v>
      </c>
      <c r="H79" s="15"/>
      <c r="I79" s="16"/>
      <c r="J79" s="15"/>
      <c r="K79" s="16"/>
      <c r="L79" s="15"/>
      <c r="M79" s="63"/>
      <c r="N79" s="17"/>
      <c r="O79" s="16"/>
      <c r="P79" s="16"/>
      <c r="Q79" s="152">
        <f t="shared" si="4"/>
        <v>0</v>
      </c>
      <c r="R79" s="152">
        <f t="shared" si="5"/>
        <v>1.03</v>
      </c>
      <c r="S79" s="152">
        <f t="shared" si="6"/>
        <v>1.03</v>
      </c>
      <c r="T79" s="18">
        <f t="shared" si="7"/>
        <v>1.03</v>
      </c>
    </row>
    <row r="80" spans="2:20" x14ac:dyDescent="0.25">
      <c r="B80" s="117" t="s">
        <v>806</v>
      </c>
      <c r="C80" s="136" t="s">
        <v>807</v>
      </c>
      <c r="D80" s="14" t="s">
        <v>27</v>
      </c>
      <c r="E80" s="14" t="s">
        <v>16</v>
      </c>
      <c r="F80" s="15">
        <v>45796</v>
      </c>
      <c r="G80" s="16">
        <v>6.2</v>
      </c>
      <c r="H80" s="15"/>
      <c r="I80" s="16"/>
      <c r="J80" s="15"/>
      <c r="K80" s="16"/>
      <c r="L80" s="15"/>
      <c r="M80" s="63"/>
      <c r="N80" s="17"/>
      <c r="O80" s="16"/>
      <c r="P80" s="16"/>
      <c r="Q80" s="152">
        <f t="shared" ref="Q80:Q143" si="16">IF(F80&lt;=Exp25Q1,G80,0)+IF(H80&lt;=Exp25Q1,I80,0)+IF(J80&lt;=Exp25Q1,K80,0)+IF(L80&lt;=Exp25Q1,M80,0)+IF(N80&lt;=Exp25Q1,O80,0)</f>
        <v>0</v>
      </c>
      <c r="R80" s="152">
        <f t="shared" ref="R80:R143" si="17">IF(F80&lt;=Exp25H1,G80,0)+IF(H80&lt;=Exp25H1,I80,0)+IF(J80&lt;=Exp25H1,K80,0)+IF(L80&lt;=Exp25H1,M80,0)+IF(N80&lt;=Exp25H1,O80,0)</f>
        <v>6.2</v>
      </c>
      <c r="S80" s="152">
        <f t="shared" ref="S80:S143" si="18">IF(F80&lt;=Exp25Q3,G80,0)+IF(H80&lt;=Exp25Q3,I80,0)+IF(J80&lt;=Exp25Q3,K80,0)+IF(L80&lt;=Exp25Q3,M80,0)+IF(N80&lt;=Exp25Q3,O80,0)</f>
        <v>6.2</v>
      </c>
      <c r="T80" s="18">
        <f t="shared" ref="T80:T143" si="19">G80+I80+K80+M80+O80</f>
        <v>6.2</v>
      </c>
    </row>
    <row r="81" spans="2:20" x14ac:dyDescent="0.25">
      <c r="B81" s="117" t="s">
        <v>153</v>
      </c>
      <c r="C81" s="136" t="s">
        <v>154</v>
      </c>
      <c r="D81" s="14" t="s">
        <v>27</v>
      </c>
      <c r="E81" s="14" t="s">
        <v>16</v>
      </c>
      <c r="F81" s="15">
        <v>45926</v>
      </c>
      <c r="G81" s="16">
        <v>1.38</v>
      </c>
      <c r="H81" s="15"/>
      <c r="I81" s="16"/>
      <c r="J81" s="15"/>
      <c r="K81" s="16"/>
      <c r="L81" s="15"/>
      <c r="M81" s="63"/>
      <c r="N81" s="17"/>
      <c r="O81" s="16"/>
      <c r="P81" s="16"/>
      <c r="Q81" s="152">
        <f t="shared" si="16"/>
        <v>0</v>
      </c>
      <c r="R81" s="152">
        <f t="shared" si="17"/>
        <v>0</v>
      </c>
      <c r="S81" s="152">
        <f t="shared" si="18"/>
        <v>0</v>
      </c>
      <c r="T81" s="18">
        <f t="shared" si="19"/>
        <v>1.38</v>
      </c>
    </row>
    <row r="82" spans="2:20" x14ac:dyDescent="0.25">
      <c r="B82" s="117" t="s">
        <v>156</v>
      </c>
      <c r="C82" s="136" t="s">
        <v>157</v>
      </c>
      <c r="D82" s="14" t="s">
        <v>15</v>
      </c>
      <c r="E82" s="14" t="s">
        <v>21</v>
      </c>
      <c r="F82" s="15">
        <v>45917</v>
      </c>
      <c r="G82" s="16">
        <v>3</v>
      </c>
      <c r="H82" s="15"/>
      <c r="I82" s="16"/>
      <c r="J82" s="15"/>
      <c r="K82" s="16"/>
      <c r="L82" s="15"/>
      <c r="M82" s="63"/>
      <c r="N82" s="17"/>
      <c r="O82" s="16"/>
      <c r="P82" s="16"/>
      <c r="Q82" s="152">
        <f t="shared" si="16"/>
        <v>0</v>
      </c>
      <c r="R82" s="152">
        <f t="shared" si="17"/>
        <v>0</v>
      </c>
      <c r="S82" s="152">
        <f t="shared" si="18"/>
        <v>3</v>
      </c>
      <c r="T82" s="18">
        <f t="shared" si="19"/>
        <v>3</v>
      </c>
    </row>
    <row r="83" spans="2:20" x14ac:dyDescent="0.25">
      <c r="B83" s="117" t="s">
        <v>158</v>
      </c>
      <c r="C83" s="136" t="s">
        <v>159</v>
      </c>
      <c r="D83" s="14" t="s">
        <v>15</v>
      </c>
      <c r="E83" s="14" t="s">
        <v>761</v>
      </c>
      <c r="F83" s="15">
        <v>45673</v>
      </c>
      <c r="G83" s="16">
        <f>0.391/1.03*0.84313*100</f>
        <v>32.006197087378638</v>
      </c>
      <c r="H83" s="15">
        <v>45827</v>
      </c>
      <c r="I83" s="16">
        <f>0.226/1.1508*0.8552*100</f>
        <v>16.794855752519986</v>
      </c>
      <c r="J83" s="15"/>
      <c r="K83" s="16"/>
      <c r="L83" s="15"/>
      <c r="M83" s="63"/>
      <c r="N83" s="17"/>
      <c r="O83" s="16"/>
      <c r="P83" s="16"/>
      <c r="Q83" s="152">
        <f t="shared" si="16"/>
        <v>32.006197087378638</v>
      </c>
      <c r="R83" s="152">
        <f t="shared" si="17"/>
        <v>48.801052839898624</v>
      </c>
      <c r="S83" s="152">
        <f t="shared" si="18"/>
        <v>48.801052839898624</v>
      </c>
      <c r="T83" s="18">
        <f t="shared" si="19"/>
        <v>48.801052839898624</v>
      </c>
    </row>
    <row r="84" spans="2:20" x14ac:dyDescent="0.25">
      <c r="B84" s="117" t="s">
        <v>164</v>
      </c>
      <c r="C84" s="136" t="s">
        <v>165</v>
      </c>
      <c r="D84" s="14" t="s">
        <v>24</v>
      </c>
      <c r="E84" s="14" t="s">
        <v>16</v>
      </c>
      <c r="F84" s="15">
        <v>45803</v>
      </c>
      <c r="G84" s="16">
        <v>1.1000000000000001</v>
      </c>
      <c r="H84" s="15"/>
      <c r="I84" s="16"/>
      <c r="J84" s="15"/>
      <c r="K84" s="16"/>
      <c r="L84" s="15"/>
      <c r="M84" s="63"/>
      <c r="N84" s="17"/>
      <c r="O84" s="16"/>
      <c r="P84" s="16"/>
      <c r="Q84" s="152">
        <f t="shared" si="16"/>
        <v>0</v>
      </c>
      <c r="R84" s="152">
        <f t="shared" si="17"/>
        <v>1.1000000000000001</v>
      </c>
      <c r="S84" s="152">
        <f t="shared" si="18"/>
        <v>1.1000000000000001</v>
      </c>
      <c r="T84" s="18">
        <f t="shared" si="19"/>
        <v>1.1000000000000001</v>
      </c>
    </row>
    <row r="85" spans="2:20" x14ac:dyDescent="0.25">
      <c r="B85" s="158" t="s">
        <v>820</v>
      </c>
      <c r="C85" s="159" t="s">
        <v>821</v>
      </c>
      <c r="D85" s="45" t="s">
        <v>15</v>
      </c>
      <c r="E85" s="45" t="s">
        <v>16</v>
      </c>
      <c r="F85" s="15">
        <v>45805</v>
      </c>
      <c r="G85" s="16">
        <v>1.9</v>
      </c>
      <c r="H85" s="15"/>
      <c r="I85" s="16"/>
      <c r="J85" s="15"/>
      <c r="K85" s="16"/>
      <c r="L85" s="15"/>
      <c r="M85" s="63"/>
      <c r="N85" s="17"/>
      <c r="O85" s="16"/>
      <c r="P85" s="47"/>
      <c r="Q85" s="152">
        <f t="shared" si="16"/>
        <v>0</v>
      </c>
      <c r="R85" s="152">
        <f t="shared" si="17"/>
        <v>1.9</v>
      </c>
      <c r="S85" s="152">
        <f t="shared" si="18"/>
        <v>1.9</v>
      </c>
      <c r="T85" s="18">
        <f t="shared" si="19"/>
        <v>1.9</v>
      </c>
    </row>
    <row r="86" spans="2:20" x14ac:dyDescent="0.25">
      <c r="B86" s="158" t="s">
        <v>172</v>
      </c>
      <c r="C86" s="159" t="s">
        <v>173</v>
      </c>
      <c r="D86" s="45" t="s">
        <v>24</v>
      </c>
      <c r="E86" s="45" t="s">
        <v>16</v>
      </c>
      <c r="F86" s="15">
        <v>45782</v>
      </c>
      <c r="G86" s="16">
        <v>2.15</v>
      </c>
      <c r="H86" s="15"/>
      <c r="I86" s="16"/>
      <c r="J86" s="15"/>
      <c r="K86" s="16"/>
      <c r="L86" s="15"/>
      <c r="M86" s="63"/>
      <c r="N86" s="17"/>
      <c r="O86" s="16"/>
      <c r="P86" s="47"/>
      <c r="Q86" s="152">
        <f t="shared" si="16"/>
        <v>0</v>
      </c>
      <c r="R86" s="152">
        <f t="shared" si="17"/>
        <v>2.15</v>
      </c>
      <c r="S86" s="152">
        <f t="shared" si="18"/>
        <v>2.15</v>
      </c>
      <c r="T86" s="18">
        <f t="shared" si="19"/>
        <v>2.15</v>
      </c>
    </row>
    <row r="87" spans="2:20" x14ac:dyDescent="0.25">
      <c r="B87" s="158" t="s">
        <v>857</v>
      </c>
      <c r="C87" s="159" t="s">
        <v>858</v>
      </c>
      <c r="D87" s="45" t="s">
        <v>24</v>
      </c>
      <c r="E87" s="45" t="s">
        <v>16</v>
      </c>
      <c r="F87" s="15">
        <v>45803</v>
      </c>
      <c r="G87" s="16">
        <v>0.26</v>
      </c>
      <c r="H87" s="15"/>
      <c r="I87" s="16"/>
      <c r="J87" s="15"/>
      <c r="K87" s="16"/>
      <c r="L87" s="15"/>
      <c r="M87" s="63"/>
      <c r="N87" s="17"/>
      <c r="O87" s="16"/>
      <c r="P87" s="47"/>
      <c r="Q87" s="152">
        <f t="shared" si="16"/>
        <v>0</v>
      </c>
      <c r="R87" s="152">
        <f t="shared" si="17"/>
        <v>0.26</v>
      </c>
      <c r="S87" s="152">
        <f t="shared" si="18"/>
        <v>0.26</v>
      </c>
      <c r="T87" s="18">
        <f t="shared" si="19"/>
        <v>0.26</v>
      </c>
    </row>
    <row r="88" spans="2:20" x14ac:dyDescent="0.25">
      <c r="B88" s="158" t="s">
        <v>894</v>
      </c>
      <c r="C88" s="159" t="s">
        <v>895</v>
      </c>
      <c r="D88" s="45" t="s">
        <v>24</v>
      </c>
      <c r="E88" s="45" t="s">
        <v>16</v>
      </c>
      <c r="F88" s="15">
        <v>45698</v>
      </c>
      <c r="G88" s="16">
        <v>0.13</v>
      </c>
      <c r="H88" s="15"/>
      <c r="I88" s="16"/>
      <c r="J88" s="15"/>
      <c r="K88" s="16"/>
      <c r="L88" s="15"/>
      <c r="M88" s="63"/>
      <c r="N88" s="17"/>
      <c r="O88" s="16"/>
      <c r="P88" s="47"/>
      <c r="Q88" s="152">
        <f t="shared" si="16"/>
        <v>0.13</v>
      </c>
      <c r="R88" s="152">
        <f t="shared" si="17"/>
        <v>0.13</v>
      </c>
      <c r="S88" s="152">
        <f t="shared" si="18"/>
        <v>0.13</v>
      </c>
      <c r="T88" s="18">
        <f t="shared" si="19"/>
        <v>0.13</v>
      </c>
    </row>
    <row r="89" spans="2:20" x14ac:dyDescent="0.25">
      <c r="B89" s="117" t="s">
        <v>174</v>
      </c>
      <c r="C89" s="136" t="s">
        <v>175</v>
      </c>
      <c r="D89" s="14" t="s">
        <v>15</v>
      </c>
      <c r="E89" s="14" t="s">
        <v>16</v>
      </c>
      <c r="F89" s="15">
        <v>45800</v>
      </c>
      <c r="G89" s="16">
        <v>0.68</v>
      </c>
      <c r="H89" s="15"/>
      <c r="I89" s="16"/>
      <c r="J89" s="15"/>
      <c r="K89" s="16"/>
      <c r="L89" s="15"/>
      <c r="M89" s="63"/>
      <c r="N89" s="17"/>
      <c r="O89" s="16"/>
      <c r="P89" s="16"/>
      <c r="Q89" s="152">
        <f t="shared" si="16"/>
        <v>0</v>
      </c>
      <c r="R89" s="152">
        <f t="shared" si="17"/>
        <v>0.68</v>
      </c>
      <c r="S89" s="152">
        <f t="shared" si="18"/>
        <v>0.68</v>
      </c>
      <c r="T89" s="18">
        <f t="shared" si="19"/>
        <v>0.68</v>
      </c>
    </row>
    <row r="90" spans="2:20" x14ac:dyDescent="0.25">
      <c r="B90" s="117" t="s">
        <v>176</v>
      </c>
      <c r="C90" s="136" t="s">
        <v>177</v>
      </c>
      <c r="D90" s="14" t="s">
        <v>15</v>
      </c>
      <c r="E90" s="14" t="s">
        <v>16</v>
      </c>
      <c r="F90" s="15">
        <v>45792</v>
      </c>
      <c r="G90" s="16">
        <v>4</v>
      </c>
      <c r="H90" s="15"/>
      <c r="I90" s="16"/>
      <c r="J90" s="15"/>
      <c r="K90" s="16"/>
      <c r="L90" s="15"/>
      <c r="M90" s="63"/>
      <c r="N90" s="17"/>
      <c r="O90" s="16"/>
      <c r="P90" s="16"/>
      <c r="Q90" s="152">
        <f t="shared" si="16"/>
        <v>0</v>
      </c>
      <c r="R90" s="152">
        <f t="shared" si="17"/>
        <v>4</v>
      </c>
      <c r="S90" s="152">
        <f t="shared" si="18"/>
        <v>4</v>
      </c>
      <c r="T90" s="18">
        <f t="shared" si="19"/>
        <v>4</v>
      </c>
    </row>
    <row r="91" spans="2:20" x14ac:dyDescent="0.25">
      <c r="B91" s="117" t="s">
        <v>178</v>
      </c>
      <c r="C91" s="136" t="s">
        <v>179</v>
      </c>
      <c r="D91" s="14" t="s">
        <v>15</v>
      </c>
      <c r="E91" s="14" t="s">
        <v>16</v>
      </c>
      <c r="F91" s="15">
        <v>45784</v>
      </c>
      <c r="G91" s="16">
        <v>0.3</v>
      </c>
      <c r="H91" s="15"/>
      <c r="I91" s="16">
        <f>1/1.1553</f>
        <v>0.86557604085518913</v>
      </c>
      <c r="J91" s="15"/>
      <c r="K91" s="16"/>
      <c r="L91" s="15"/>
      <c r="M91" s="63"/>
      <c r="N91" s="17"/>
      <c r="O91" s="16"/>
      <c r="P91" s="16"/>
      <c r="Q91" s="152">
        <f t="shared" si="16"/>
        <v>0.86557604085518913</v>
      </c>
      <c r="R91" s="152">
        <f t="shared" si="17"/>
        <v>1.1655760408551892</v>
      </c>
      <c r="S91" s="152">
        <f t="shared" si="18"/>
        <v>1.1655760408551892</v>
      </c>
      <c r="T91" s="18">
        <f t="shared" si="19"/>
        <v>1.1655760408551892</v>
      </c>
    </row>
    <row r="92" spans="2:20" x14ac:dyDescent="0.25">
      <c r="B92" s="117" t="s">
        <v>938</v>
      </c>
      <c r="C92" s="136" t="s">
        <v>181</v>
      </c>
      <c r="D92" s="14" t="s">
        <v>15</v>
      </c>
      <c r="E92" s="14" t="s">
        <v>16</v>
      </c>
      <c r="F92" s="15">
        <v>45782</v>
      </c>
      <c r="G92" s="16">
        <v>1.85</v>
      </c>
      <c r="H92" s="15"/>
      <c r="I92" s="16"/>
      <c r="J92" s="15"/>
      <c r="K92" s="16"/>
      <c r="L92" s="15"/>
      <c r="M92" s="63"/>
      <c r="N92" s="17"/>
      <c r="O92" s="16"/>
      <c r="P92" s="16"/>
      <c r="Q92" s="152">
        <f t="shared" si="16"/>
        <v>0</v>
      </c>
      <c r="R92" s="152">
        <f t="shared" si="17"/>
        <v>1.85</v>
      </c>
      <c r="S92" s="152">
        <f t="shared" si="18"/>
        <v>1.85</v>
      </c>
      <c r="T92" s="18">
        <f t="shared" si="19"/>
        <v>1.85</v>
      </c>
    </row>
    <row r="93" spans="2:20" x14ac:dyDescent="0.25">
      <c r="B93" s="117" t="s">
        <v>182</v>
      </c>
      <c r="C93" s="136" t="s">
        <v>183</v>
      </c>
      <c r="D93" s="14" t="s">
        <v>15</v>
      </c>
      <c r="E93" s="14" t="s">
        <v>16</v>
      </c>
      <c r="F93" s="15">
        <v>45757</v>
      </c>
      <c r="G93" s="16">
        <v>0.9</v>
      </c>
      <c r="H93" s="15"/>
      <c r="I93" s="16"/>
      <c r="J93" s="15"/>
      <c r="K93" s="16"/>
      <c r="L93" s="15"/>
      <c r="M93" s="63"/>
      <c r="N93" s="17"/>
      <c r="O93" s="16"/>
      <c r="P93" s="16"/>
      <c r="Q93" s="152">
        <f t="shared" si="16"/>
        <v>0</v>
      </c>
      <c r="R93" s="152">
        <f t="shared" si="17"/>
        <v>0.9</v>
      </c>
      <c r="S93" s="152">
        <f t="shared" si="18"/>
        <v>0.9</v>
      </c>
      <c r="T93" s="18">
        <f t="shared" si="19"/>
        <v>0.9</v>
      </c>
    </row>
    <row r="94" spans="2:20" x14ac:dyDescent="0.25">
      <c r="B94" s="117" t="s">
        <v>184</v>
      </c>
      <c r="C94" s="136" t="s">
        <v>185</v>
      </c>
      <c r="D94" s="14" t="s">
        <v>15</v>
      </c>
      <c r="E94" s="14" t="s">
        <v>761</v>
      </c>
      <c r="F94" s="15">
        <v>45715</v>
      </c>
      <c r="G94" s="16">
        <f>0.405/1.0487*0.82868*100</f>
        <v>32.002994183274538</v>
      </c>
      <c r="H94" s="15">
        <v>45946</v>
      </c>
      <c r="I94" s="16">
        <f>0.6298/1.1622*0.8705*100</f>
        <v>47.17268112200999</v>
      </c>
      <c r="J94" s="15"/>
      <c r="K94" s="16"/>
      <c r="L94" s="15"/>
      <c r="M94" s="63"/>
      <c r="N94" s="17"/>
      <c r="O94" s="16"/>
      <c r="P94" s="16"/>
      <c r="Q94" s="152">
        <f t="shared" si="16"/>
        <v>32.002994183274538</v>
      </c>
      <c r="R94" s="152">
        <f t="shared" si="17"/>
        <v>32.002994183274538</v>
      </c>
      <c r="S94" s="152">
        <f t="shared" si="18"/>
        <v>32.002994183274538</v>
      </c>
      <c r="T94" s="18">
        <f t="shared" si="19"/>
        <v>79.175675305284528</v>
      </c>
    </row>
    <row r="95" spans="2:20" x14ac:dyDescent="0.25">
      <c r="B95" s="117" t="s">
        <v>781</v>
      </c>
      <c r="C95" s="136" t="s">
        <v>187</v>
      </c>
      <c r="D95" s="14" t="s">
        <v>27</v>
      </c>
      <c r="E95" s="14" t="s">
        <v>16</v>
      </c>
      <c r="F95" s="15">
        <v>45818</v>
      </c>
      <c r="G95" s="16">
        <v>1.6</v>
      </c>
      <c r="H95" s="15"/>
      <c r="I95" s="16"/>
      <c r="J95" s="15"/>
      <c r="K95" s="16"/>
      <c r="L95" s="15"/>
      <c r="M95" s="63"/>
      <c r="N95" s="17"/>
      <c r="O95" s="16"/>
      <c r="P95" s="16"/>
      <c r="Q95" s="152">
        <f t="shared" si="16"/>
        <v>0</v>
      </c>
      <c r="R95" s="152">
        <f t="shared" si="17"/>
        <v>1.6</v>
      </c>
      <c r="S95" s="152">
        <f t="shared" si="18"/>
        <v>1.6</v>
      </c>
      <c r="T95" s="18">
        <f t="shared" si="19"/>
        <v>1.6</v>
      </c>
    </row>
    <row r="96" spans="2:20" x14ac:dyDescent="0.25">
      <c r="B96" s="117" t="s">
        <v>913</v>
      </c>
      <c r="C96" s="136" t="s">
        <v>914</v>
      </c>
      <c r="D96" s="14" t="s">
        <v>755</v>
      </c>
      <c r="E96" s="14" t="s">
        <v>475</v>
      </c>
      <c r="F96" s="15">
        <v>45777</v>
      </c>
      <c r="G96" s="16">
        <v>16.75</v>
      </c>
      <c r="H96" s="15"/>
      <c r="I96" s="16"/>
      <c r="J96" s="15"/>
      <c r="K96" s="16"/>
      <c r="L96" s="15"/>
      <c r="M96" s="63"/>
      <c r="N96" s="17"/>
      <c r="O96" s="16"/>
      <c r="P96" s="16"/>
      <c r="Q96" s="152">
        <f t="shared" si="16"/>
        <v>0</v>
      </c>
      <c r="R96" s="152">
        <f t="shared" si="17"/>
        <v>16.75</v>
      </c>
      <c r="S96" s="152">
        <f t="shared" si="18"/>
        <v>16.75</v>
      </c>
      <c r="T96" s="18">
        <f t="shared" si="19"/>
        <v>16.75</v>
      </c>
    </row>
    <row r="97" spans="2:20" x14ac:dyDescent="0.25">
      <c r="B97" s="117" t="s">
        <v>929</v>
      </c>
      <c r="C97" s="136" t="s">
        <v>191</v>
      </c>
      <c r="D97" s="14" t="s">
        <v>15</v>
      </c>
      <c r="E97" s="14" t="s">
        <v>16</v>
      </c>
      <c r="F97" s="15">
        <v>45785</v>
      </c>
      <c r="G97" s="16">
        <v>2.5</v>
      </c>
      <c r="H97" s="15"/>
      <c r="I97" s="16"/>
      <c r="J97" s="15"/>
      <c r="K97" s="16"/>
      <c r="L97" s="15"/>
      <c r="M97" s="63"/>
      <c r="N97" s="17"/>
      <c r="O97" s="16"/>
      <c r="P97" s="16"/>
      <c r="Q97" s="152">
        <f t="shared" si="16"/>
        <v>0</v>
      </c>
      <c r="R97" s="152">
        <f t="shared" si="17"/>
        <v>2.5</v>
      </c>
      <c r="S97" s="152">
        <f t="shared" si="18"/>
        <v>2.5</v>
      </c>
      <c r="T97" s="18">
        <f t="shared" si="19"/>
        <v>2.5</v>
      </c>
    </row>
    <row r="98" spans="2:20" x14ac:dyDescent="0.25">
      <c r="B98" s="117" t="s">
        <v>194</v>
      </c>
      <c r="C98" s="136" t="s">
        <v>195</v>
      </c>
      <c r="D98" s="14" t="s">
        <v>15</v>
      </c>
      <c r="E98" s="14" t="s">
        <v>16</v>
      </c>
      <c r="F98" s="15">
        <v>45793</v>
      </c>
      <c r="G98" s="16">
        <v>0.55000000000000004</v>
      </c>
      <c r="H98" s="15"/>
      <c r="I98" s="16"/>
      <c r="J98" s="15"/>
      <c r="K98" s="16"/>
      <c r="L98" s="15"/>
      <c r="M98" s="63"/>
      <c r="N98" s="17"/>
      <c r="O98" s="16"/>
      <c r="P98" s="16"/>
      <c r="Q98" s="152">
        <f t="shared" si="16"/>
        <v>0</v>
      </c>
      <c r="R98" s="152">
        <f t="shared" si="17"/>
        <v>0.55000000000000004</v>
      </c>
      <c r="S98" s="152">
        <f t="shared" si="18"/>
        <v>0.55000000000000004</v>
      </c>
      <c r="T98" s="18">
        <f t="shared" si="19"/>
        <v>0.55000000000000004</v>
      </c>
    </row>
    <row r="99" spans="2:20" x14ac:dyDescent="0.25">
      <c r="B99" s="117" t="s">
        <v>963</v>
      </c>
      <c r="C99" s="136" t="s">
        <v>748</v>
      </c>
      <c r="D99" s="14" t="s">
        <v>237</v>
      </c>
      <c r="E99" s="14" t="s">
        <v>16</v>
      </c>
      <c r="F99" s="15">
        <v>45779</v>
      </c>
      <c r="G99" s="16">
        <v>0.2</v>
      </c>
      <c r="H99" s="15"/>
      <c r="I99" s="16"/>
      <c r="J99" s="15"/>
      <c r="K99" s="16"/>
      <c r="L99" s="15"/>
      <c r="M99" s="63"/>
      <c r="N99" s="17"/>
      <c r="O99" s="16"/>
      <c r="P99" s="16"/>
      <c r="Q99" s="152">
        <f t="shared" si="16"/>
        <v>0</v>
      </c>
      <c r="R99" s="152">
        <f t="shared" si="17"/>
        <v>0.2</v>
      </c>
      <c r="S99" s="152">
        <f t="shared" si="18"/>
        <v>0.2</v>
      </c>
      <c r="T99" s="18">
        <f t="shared" si="19"/>
        <v>0.2</v>
      </c>
    </row>
    <row r="100" spans="2:20" x14ac:dyDescent="0.25">
      <c r="B100" s="117" t="s">
        <v>787</v>
      </c>
      <c r="C100" s="136" t="s">
        <v>788</v>
      </c>
      <c r="D100" s="14" t="s">
        <v>237</v>
      </c>
      <c r="E100" s="14" t="s">
        <v>16</v>
      </c>
      <c r="F100" s="15">
        <v>45763</v>
      </c>
      <c r="G100" s="16">
        <v>8.4000000000000005E-2</v>
      </c>
      <c r="H100" s="15"/>
      <c r="I100" s="16"/>
      <c r="J100" s="15"/>
      <c r="K100" s="16"/>
      <c r="L100" s="15"/>
      <c r="M100" s="63"/>
      <c r="N100" s="17"/>
      <c r="O100" s="16"/>
      <c r="P100" s="16"/>
      <c r="Q100" s="152">
        <f t="shared" si="16"/>
        <v>0</v>
      </c>
      <c r="R100" s="152">
        <f t="shared" si="17"/>
        <v>8.4000000000000005E-2</v>
      </c>
      <c r="S100" s="152">
        <f t="shared" si="18"/>
        <v>8.4000000000000005E-2</v>
      </c>
      <c r="T100" s="18">
        <f t="shared" si="19"/>
        <v>8.4000000000000005E-2</v>
      </c>
    </row>
    <row r="101" spans="2:20" x14ac:dyDescent="0.25">
      <c r="B101" s="117" t="s">
        <v>198</v>
      </c>
      <c r="C101" s="136" t="s">
        <v>199</v>
      </c>
      <c r="D101" s="14" t="s">
        <v>15</v>
      </c>
      <c r="E101" s="14" t="s">
        <v>200</v>
      </c>
      <c r="F101" s="15"/>
      <c r="G101" s="16"/>
      <c r="H101" s="15"/>
      <c r="I101" s="16"/>
      <c r="J101" s="15"/>
      <c r="K101" s="16"/>
      <c r="L101" s="15"/>
      <c r="M101" s="63"/>
      <c r="N101" s="17"/>
      <c r="O101" s="16"/>
      <c r="P101" s="16"/>
      <c r="Q101" s="152">
        <f t="shared" si="16"/>
        <v>0</v>
      </c>
      <c r="R101" s="152">
        <f t="shared" si="17"/>
        <v>0</v>
      </c>
      <c r="S101" s="152">
        <f t="shared" si="18"/>
        <v>0</v>
      </c>
      <c r="T101" s="18">
        <f t="shared" si="19"/>
        <v>0</v>
      </c>
    </row>
    <row r="102" spans="2:20" x14ac:dyDescent="0.25">
      <c r="B102" s="117" t="s">
        <v>884</v>
      </c>
      <c r="C102" s="136" t="s">
        <v>202</v>
      </c>
      <c r="D102" s="14" t="s">
        <v>27</v>
      </c>
      <c r="E102" s="14" t="s">
        <v>16</v>
      </c>
      <c r="F102" s="175">
        <v>45735</v>
      </c>
      <c r="G102" s="154">
        <f>2.05*0.94733333</f>
        <v>1.9420333264999998</v>
      </c>
      <c r="H102" s="15"/>
      <c r="I102" s="16"/>
      <c r="J102" s="15"/>
      <c r="K102" s="16"/>
      <c r="L102" s="15"/>
      <c r="M102" s="63"/>
      <c r="N102" s="17"/>
      <c r="O102" s="16"/>
      <c r="P102" s="16"/>
      <c r="Q102" s="152">
        <f t="shared" si="16"/>
        <v>1.9420333264999998</v>
      </c>
      <c r="R102" s="152">
        <f t="shared" si="17"/>
        <v>1.9420333264999998</v>
      </c>
      <c r="S102" s="152">
        <f t="shared" si="18"/>
        <v>1.9420333264999998</v>
      </c>
      <c r="T102" s="18">
        <f t="shared" si="19"/>
        <v>1.9420333264999998</v>
      </c>
    </row>
    <row r="103" spans="2:20" x14ac:dyDescent="0.25">
      <c r="B103" s="117" t="s">
        <v>717</v>
      </c>
      <c r="C103" s="136" t="s">
        <v>718</v>
      </c>
      <c r="D103" s="14" t="s">
        <v>24</v>
      </c>
      <c r="E103" s="14" t="s">
        <v>16</v>
      </c>
      <c r="F103" s="15"/>
      <c r="G103" s="16"/>
      <c r="H103" s="15"/>
      <c r="I103" s="16"/>
      <c r="J103" s="15"/>
      <c r="K103" s="16"/>
      <c r="L103" s="15"/>
      <c r="M103" s="63"/>
      <c r="N103" s="17"/>
      <c r="O103" s="16"/>
      <c r="P103" s="16"/>
      <c r="Q103" s="152">
        <f t="shared" si="16"/>
        <v>0</v>
      </c>
      <c r="R103" s="152">
        <f t="shared" si="17"/>
        <v>0</v>
      </c>
      <c r="S103" s="152">
        <f t="shared" si="18"/>
        <v>0</v>
      </c>
      <c r="T103" s="18">
        <f t="shared" si="19"/>
        <v>0</v>
      </c>
    </row>
    <row r="104" spans="2:20" x14ac:dyDescent="0.25">
      <c r="B104" s="117" t="s">
        <v>203</v>
      </c>
      <c r="C104" s="136" t="s">
        <v>204</v>
      </c>
      <c r="D104" s="14" t="s">
        <v>15</v>
      </c>
      <c r="E104" s="14" t="s">
        <v>16</v>
      </c>
      <c r="F104" s="15">
        <v>45750</v>
      </c>
      <c r="G104" s="16">
        <v>1.18</v>
      </c>
      <c r="H104" s="15">
        <v>45946</v>
      </c>
      <c r="I104" s="16">
        <v>1.17</v>
      </c>
      <c r="J104" s="15"/>
      <c r="K104" s="16"/>
      <c r="L104" s="15"/>
      <c r="M104" s="63"/>
      <c r="N104" s="17"/>
      <c r="O104" s="16"/>
      <c r="P104" s="16"/>
      <c r="Q104" s="152">
        <f t="shared" si="16"/>
        <v>0</v>
      </c>
      <c r="R104" s="152">
        <f t="shared" si="17"/>
        <v>1.18</v>
      </c>
      <c r="S104" s="152">
        <f t="shared" si="18"/>
        <v>1.18</v>
      </c>
      <c r="T104" s="18">
        <f t="shared" si="19"/>
        <v>2.3499999999999996</v>
      </c>
    </row>
    <row r="105" spans="2:20" x14ac:dyDescent="0.25">
      <c r="B105" s="117" t="s">
        <v>205</v>
      </c>
      <c r="C105" s="136" t="s">
        <v>206</v>
      </c>
      <c r="D105" s="14" t="s">
        <v>15</v>
      </c>
      <c r="E105" s="14" t="s">
        <v>16</v>
      </c>
      <c r="F105" s="15">
        <v>45839</v>
      </c>
      <c r="G105" s="16">
        <v>0.6</v>
      </c>
      <c r="H105" s="15">
        <v>46010</v>
      </c>
      <c r="I105" s="16">
        <v>0.4</v>
      </c>
      <c r="J105" s="15"/>
      <c r="K105" s="16"/>
      <c r="L105" s="15"/>
      <c r="M105" s="63"/>
      <c r="N105" s="17"/>
      <c r="O105" s="16"/>
      <c r="P105" s="16"/>
      <c r="Q105" s="152">
        <f t="shared" si="16"/>
        <v>0</v>
      </c>
      <c r="R105" s="152">
        <f t="shared" si="17"/>
        <v>0</v>
      </c>
      <c r="S105" s="152">
        <f t="shared" si="18"/>
        <v>0.6</v>
      </c>
      <c r="T105" s="18">
        <f t="shared" si="19"/>
        <v>1</v>
      </c>
    </row>
    <row r="106" spans="2:20" x14ac:dyDescent="0.25">
      <c r="B106" s="117" t="s">
        <v>207</v>
      </c>
      <c r="C106" s="136" t="s">
        <v>208</v>
      </c>
      <c r="D106" s="14" t="s">
        <v>15</v>
      </c>
      <c r="E106" s="14" t="s">
        <v>16</v>
      </c>
      <c r="F106" s="15">
        <v>45663</v>
      </c>
      <c r="G106" s="16">
        <v>0.5</v>
      </c>
      <c r="H106" s="15">
        <v>45835</v>
      </c>
      <c r="I106" s="16">
        <v>0.81769999999999998</v>
      </c>
      <c r="J106" s="15"/>
      <c r="K106" s="16"/>
      <c r="L106" s="15"/>
      <c r="M106" s="63"/>
      <c r="N106" s="17"/>
      <c r="O106" s="16"/>
      <c r="P106" s="16"/>
      <c r="Q106" s="152">
        <f t="shared" si="16"/>
        <v>0.5</v>
      </c>
      <c r="R106" s="152">
        <f t="shared" si="17"/>
        <v>0.5</v>
      </c>
      <c r="S106" s="152">
        <f t="shared" si="18"/>
        <v>1.3176999999999999</v>
      </c>
      <c r="T106" s="18">
        <f t="shared" si="19"/>
        <v>1.3176999999999999</v>
      </c>
    </row>
    <row r="107" spans="2:20" x14ac:dyDescent="0.25">
      <c r="B107" s="117" t="s">
        <v>942</v>
      </c>
      <c r="C107" s="136" t="s">
        <v>943</v>
      </c>
      <c r="D107" s="14" t="s">
        <v>941</v>
      </c>
      <c r="E107" s="14" t="s">
        <v>16</v>
      </c>
      <c r="F107" s="15">
        <v>45677</v>
      </c>
      <c r="G107" s="16">
        <v>0.215</v>
      </c>
      <c r="H107" s="15">
        <v>45859</v>
      </c>
      <c r="I107" s="16">
        <v>0.255</v>
      </c>
      <c r="J107" s="15"/>
      <c r="K107" s="16"/>
      <c r="L107" s="15"/>
      <c r="M107" s="63"/>
      <c r="N107" s="17"/>
      <c r="O107" s="16"/>
      <c r="P107" s="16"/>
      <c r="Q107" s="152">
        <f t="shared" si="16"/>
        <v>0.215</v>
      </c>
      <c r="R107" s="152">
        <f t="shared" si="17"/>
        <v>0.215</v>
      </c>
      <c r="S107" s="152">
        <f t="shared" si="18"/>
        <v>0.47</v>
      </c>
      <c r="T107" s="18">
        <f t="shared" si="19"/>
        <v>0.47</v>
      </c>
    </row>
    <row r="108" spans="2:20" x14ac:dyDescent="0.25">
      <c r="B108" s="117" t="s">
        <v>211</v>
      </c>
      <c r="C108" s="136" t="s">
        <v>212</v>
      </c>
      <c r="D108" s="14" t="s">
        <v>24</v>
      </c>
      <c r="E108" s="14" t="s">
        <v>16</v>
      </c>
      <c r="F108" s="15">
        <v>45772</v>
      </c>
      <c r="G108" s="16">
        <v>1.48</v>
      </c>
      <c r="H108" s="15"/>
      <c r="I108" s="16"/>
      <c r="J108" s="15"/>
      <c r="K108" s="16"/>
      <c r="L108" s="15"/>
      <c r="M108" s="63"/>
      <c r="N108" s="17"/>
      <c r="O108" s="16"/>
      <c r="P108" s="16"/>
      <c r="Q108" s="152">
        <f t="shared" si="16"/>
        <v>0</v>
      </c>
      <c r="R108" s="152">
        <f t="shared" si="17"/>
        <v>1.48</v>
      </c>
      <c r="S108" s="152">
        <f t="shared" si="18"/>
        <v>1.48</v>
      </c>
      <c r="T108" s="18">
        <f t="shared" si="19"/>
        <v>1.48</v>
      </c>
    </row>
    <row r="109" spans="2:20" x14ac:dyDescent="0.25">
      <c r="B109" s="117" t="s">
        <v>944</v>
      </c>
      <c r="C109" s="136" t="s">
        <v>945</v>
      </c>
      <c r="D109" s="14" t="s">
        <v>941</v>
      </c>
      <c r="E109" s="14" t="s">
        <v>16</v>
      </c>
      <c r="F109" s="15">
        <v>45740</v>
      </c>
      <c r="G109" s="16">
        <v>0.25</v>
      </c>
      <c r="H109" s="15">
        <v>45796</v>
      </c>
      <c r="I109" s="16">
        <v>0.25</v>
      </c>
      <c r="J109" s="15">
        <v>45922</v>
      </c>
      <c r="K109" s="16">
        <v>0.26</v>
      </c>
      <c r="L109" s="15">
        <v>45985</v>
      </c>
      <c r="M109" s="63">
        <v>0.26</v>
      </c>
      <c r="N109" s="17"/>
      <c r="O109" s="16"/>
      <c r="P109" s="16"/>
      <c r="Q109" s="152">
        <f t="shared" si="16"/>
        <v>0</v>
      </c>
      <c r="R109" s="152">
        <f t="shared" si="17"/>
        <v>0.5</v>
      </c>
      <c r="S109" s="152">
        <f t="shared" si="18"/>
        <v>0.5</v>
      </c>
      <c r="T109" s="18">
        <f t="shared" si="19"/>
        <v>1.02</v>
      </c>
    </row>
    <row r="110" spans="2:20" x14ac:dyDescent="0.25">
      <c r="B110" s="117" t="s">
        <v>621</v>
      </c>
      <c r="C110" s="136" t="s">
        <v>450</v>
      </c>
      <c r="D110" s="14" t="s">
        <v>15</v>
      </c>
      <c r="E110" s="14" t="s">
        <v>56</v>
      </c>
      <c r="F110" s="175">
        <v>45701</v>
      </c>
      <c r="G110" s="154">
        <f>0.35*0.98519797</f>
        <v>0.34481928949999996</v>
      </c>
      <c r="H110" s="15">
        <v>45792</v>
      </c>
      <c r="I110" s="16">
        <v>0.37</v>
      </c>
      <c r="J110" s="15">
        <v>45887</v>
      </c>
      <c r="K110" s="16">
        <v>0.37</v>
      </c>
      <c r="L110" s="15">
        <v>45974</v>
      </c>
      <c r="M110" s="16">
        <v>0.37</v>
      </c>
      <c r="N110" s="17"/>
      <c r="O110" s="16"/>
      <c r="P110" s="16"/>
      <c r="Q110" s="152">
        <f t="shared" si="16"/>
        <v>0.34481928949999996</v>
      </c>
      <c r="R110" s="152">
        <f t="shared" si="17"/>
        <v>0.71481928949999995</v>
      </c>
      <c r="S110" s="152">
        <f t="shared" si="18"/>
        <v>1.0848192895</v>
      </c>
      <c r="T110" s="18">
        <f t="shared" si="19"/>
        <v>1.4548192895000001</v>
      </c>
    </row>
    <row r="111" spans="2:20" x14ac:dyDescent="0.25">
      <c r="B111" s="117" t="s">
        <v>215</v>
      </c>
      <c r="C111" s="136" t="s">
        <v>216</v>
      </c>
      <c r="D111" s="14" t="s">
        <v>15</v>
      </c>
      <c r="E111" s="14" t="s">
        <v>200</v>
      </c>
      <c r="F111" s="15">
        <v>45742</v>
      </c>
      <c r="G111" s="16">
        <v>1.43</v>
      </c>
      <c r="H111" s="15">
        <v>45926</v>
      </c>
      <c r="I111" s="16">
        <v>1.42</v>
      </c>
      <c r="J111" s="15"/>
      <c r="K111" s="16"/>
      <c r="L111" s="15"/>
      <c r="M111" s="63"/>
      <c r="N111" s="17"/>
      <c r="O111" s="16"/>
      <c r="P111" s="16"/>
      <c r="Q111" s="152">
        <f t="shared" si="16"/>
        <v>0</v>
      </c>
      <c r="R111" s="152">
        <f t="shared" si="17"/>
        <v>1.43</v>
      </c>
      <c r="S111" s="152">
        <f t="shared" si="18"/>
        <v>1.43</v>
      </c>
      <c r="T111" s="18">
        <f t="shared" si="19"/>
        <v>2.8499999999999996</v>
      </c>
    </row>
    <row r="112" spans="2:20" x14ac:dyDescent="0.25">
      <c r="B112" s="117" t="s">
        <v>816</v>
      </c>
      <c r="C112" s="136" t="s">
        <v>817</v>
      </c>
      <c r="D112" s="14" t="s">
        <v>15</v>
      </c>
      <c r="E112" s="14" t="s">
        <v>16</v>
      </c>
      <c r="F112" s="15">
        <v>45803</v>
      </c>
      <c r="G112" s="16">
        <v>3</v>
      </c>
      <c r="H112" s="15"/>
      <c r="I112" s="16"/>
      <c r="J112" s="15"/>
      <c r="K112" s="16"/>
      <c r="L112" s="15"/>
      <c r="M112" s="63"/>
      <c r="N112" s="17"/>
      <c r="O112" s="16"/>
      <c r="P112" s="16"/>
      <c r="Q112" s="152">
        <f t="shared" si="16"/>
        <v>0</v>
      </c>
      <c r="R112" s="152">
        <f t="shared" si="17"/>
        <v>3</v>
      </c>
      <c r="S112" s="152">
        <f t="shared" si="18"/>
        <v>3</v>
      </c>
      <c r="T112" s="18">
        <f t="shared" si="19"/>
        <v>3</v>
      </c>
    </row>
    <row r="113" spans="2:20" x14ac:dyDescent="0.25">
      <c r="B113" s="117" t="s">
        <v>632</v>
      </c>
      <c r="C113" s="136" t="s">
        <v>218</v>
      </c>
      <c r="D113" s="14" t="s">
        <v>24</v>
      </c>
      <c r="E113" s="14" t="s">
        <v>16</v>
      </c>
      <c r="F113" s="15">
        <v>45784</v>
      </c>
      <c r="G113" s="16">
        <v>3.95</v>
      </c>
      <c r="H113" s="15"/>
      <c r="I113" s="16"/>
      <c r="J113" s="15"/>
      <c r="K113" s="16"/>
      <c r="L113" s="15"/>
      <c r="M113" s="63"/>
      <c r="N113" s="17"/>
      <c r="O113" s="16"/>
      <c r="P113" s="16"/>
      <c r="Q113" s="152">
        <f t="shared" si="16"/>
        <v>0</v>
      </c>
      <c r="R113" s="152">
        <f t="shared" si="17"/>
        <v>3.95</v>
      </c>
      <c r="S113" s="152">
        <f t="shared" si="18"/>
        <v>3.95</v>
      </c>
      <c r="T113" s="18">
        <f t="shared" si="19"/>
        <v>3.95</v>
      </c>
    </row>
    <row r="114" spans="2:20" x14ac:dyDescent="0.25">
      <c r="B114" s="117" t="s">
        <v>852</v>
      </c>
      <c r="C114" s="136" t="s">
        <v>846</v>
      </c>
      <c r="D114" s="14" t="s">
        <v>15</v>
      </c>
      <c r="E114" s="14" t="s">
        <v>200</v>
      </c>
      <c r="F114" s="15">
        <v>45744</v>
      </c>
      <c r="G114" s="16">
        <v>8.25</v>
      </c>
      <c r="H114" s="15"/>
      <c r="I114" s="16"/>
      <c r="J114" s="15"/>
      <c r="K114" s="16"/>
      <c r="L114" s="15"/>
      <c r="M114" s="63"/>
      <c r="N114" s="17"/>
      <c r="O114" s="16"/>
      <c r="P114" s="16"/>
      <c r="Q114" s="152">
        <f t="shared" si="16"/>
        <v>0</v>
      </c>
      <c r="R114" s="152">
        <f t="shared" si="17"/>
        <v>8.25</v>
      </c>
      <c r="S114" s="152">
        <f t="shared" si="18"/>
        <v>8.25</v>
      </c>
      <c r="T114" s="18">
        <f t="shared" si="19"/>
        <v>8.25</v>
      </c>
    </row>
    <row r="115" spans="2:20" x14ac:dyDescent="0.25">
      <c r="B115" s="117" t="s">
        <v>808</v>
      </c>
      <c r="C115" s="136" t="s">
        <v>809</v>
      </c>
      <c r="D115" s="14" t="s">
        <v>714</v>
      </c>
      <c r="E115" s="14" t="s">
        <v>16</v>
      </c>
      <c r="F115" s="15">
        <v>45775</v>
      </c>
      <c r="G115" s="16">
        <v>0.6</v>
      </c>
      <c r="H115" s="15"/>
      <c r="I115" s="16"/>
      <c r="J115" s="15"/>
      <c r="K115" s="16"/>
      <c r="L115" s="15"/>
      <c r="M115" s="63"/>
      <c r="N115" s="17"/>
      <c r="O115" s="16"/>
      <c r="P115" s="16"/>
      <c r="Q115" s="152">
        <f t="shared" si="16"/>
        <v>0</v>
      </c>
      <c r="R115" s="152">
        <f t="shared" si="17"/>
        <v>0.6</v>
      </c>
      <c r="S115" s="152">
        <f t="shared" si="18"/>
        <v>0.6</v>
      </c>
      <c r="T115" s="18">
        <f t="shared" si="19"/>
        <v>0.6</v>
      </c>
    </row>
    <row r="116" spans="2:20" x14ac:dyDescent="0.25">
      <c r="B116" s="117" t="s">
        <v>873</v>
      </c>
      <c r="C116" s="136" t="s">
        <v>874</v>
      </c>
      <c r="D116" s="14" t="s">
        <v>15</v>
      </c>
      <c r="E116" s="14" t="s">
        <v>16</v>
      </c>
      <c r="F116" s="15">
        <v>45803</v>
      </c>
      <c r="G116" s="16">
        <v>2.9</v>
      </c>
      <c r="H116" s="15"/>
      <c r="I116" s="16"/>
      <c r="J116" s="15"/>
      <c r="K116" s="16"/>
      <c r="L116" s="15"/>
      <c r="M116" s="63"/>
      <c r="N116" s="17"/>
      <c r="O116" s="16"/>
      <c r="P116" s="16"/>
      <c r="Q116" s="152">
        <f t="shared" si="16"/>
        <v>0</v>
      </c>
      <c r="R116" s="152">
        <f t="shared" si="17"/>
        <v>2.9</v>
      </c>
      <c r="S116" s="152">
        <f t="shared" si="18"/>
        <v>2.9</v>
      </c>
      <c r="T116" s="18">
        <f t="shared" si="19"/>
        <v>2.9</v>
      </c>
    </row>
    <row r="117" spans="2:20" x14ac:dyDescent="0.25">
      <c r="B117" s="117" t="s">
        <v>219</v>
      </c>
      <c r="C117" s="136" t="s">
        <v>220</v>
      </c>
      <c r="D117" s="14" t="s">
        <v>24</v>
      </c>
      <c r="E117" s="14" t="s">
        <v>16</v>
      </c>
      <c r="F117" s="15"/>
      <c r="G117" s="16"/>
      <c r="H117" s="15"/>
      <c r="I117" s="16"/>
      <c r="J117" s="15"/>
      <c r="K117" s="16"/>
      <c r="L117" s="15"/>
      <c r="M117" s="63"/>
      <c r="N117" s="17"/>
      <c r="O117" s="16"/>
      <c r="P117" s="16"/>
      <c r="Q117" s="152">
        <f t="shared" si="16"/>
        <v>0</v>
      </c>
      <c r="R117" s="152">
        <f t="shared" si="17"/>
        <v>0</v>
      </c>
      <c r="S117" s="152">
        <f t="shared" si="18"/>
        <v>0</v>
      </c>
      <c r="T117" s="18">
        <f t="shared" si="19"/>
        <v>0</v>
      </c>
    </row>
    <row r="118" spans="2:20" x14ac:dyDescent="0.25">
      <c r="B118" s="117" t="s">
        <v>851</v>
      </c>
      <c r="C118" s="136" t="s">
        <v>847</v>
      </c>
      <c r="D118" s="14" t="s">
        <v>15</v>
      </c>
      <c r="E118" s="14" t="s">
        <v>16</v>
      </c>
      <c r="F118" s="15">
        <v>45789</v>
      </c>
      <c r="G118" s="16">
        <v>2.8</v>
      </c>
      <c r="H118" s="15"/>
      <c r="I118" s="16"/>
      <c r="J118" s="15"/>
      <c r="K118" s="16"/>
      <c r="L118" s="15"/>
      <c r="M118" s="63"/>
      <c r="N118" s="17"/>
      <c r="O118" s="16"/>
      <c r="P118" s="16"/>
      <c r="Q118" s="152">
        <f t="shared" si="16"/>
        <v>0</v>
      </c>
      <c r="R118" s="152">
        <f t="shared" si="17"/>
        <v>2.8</v>
      </c>
      <c r="S118" s="152">
        <f t="shared" si="18"/>
        <v>2.8</v>
      </c>
      <c r="T118" s="18">
        <f t="shared" si="19"/>
        <v>2.8</v>
      </c>
    </row>
    <row r="119" spans="2:20" x14ac:dyDescent="0.25">
      <c r="B119" s="117" t="s">
        <v>906</v>
      </c>
      <c r="C119" s="136" t="s">
        <v>907</v>
      </c>
      <c r="D119" s="14" t="s">
        <v>15</v>
      </c>
      <c r="E119" s="14" t="s">
        <v>16</v>
      </c>
      <c r="F119" s="15">
        <v>45803</v>
      </c>
      <c r="G119" s="16">
        <v>0.49</v>
      </c>
      <c r="H119" s="15"/>
      <c r="I119" s="16"/>
      <c r="J119" s="15"/>
      <c r="K119" s="16"/>
      <c r="L119" s="15"/>
      <c r="M119" s="63"/>
      <c r="N119" s="17"/>
      <c r="O119" s="16"/>
      <c r="P119" s="16"/>
      <c r="Q119" s="152">
        <f t="shared" si="16"/>
        <v>0</v>
      </c>
      <c r="R119" s="152">
        <f t="shared" si="17"/>
        <v>0.49</v>
      </c>
      <c r="S119" s="152">
        <f t="shared" si="18"/>
        <v>0.49</v>
      </c>
      <c r="T119" s="18">
        <f t="shared" si="19"/>
        <v>0.49</v>
      </c>
    </row>
    <row r="120" spans="2:20" x14ac:dyDescent="0.25">
      <c r="B120" s="117" t="s">
        <v>221</v>
      </c>
      <c r="C120" s="136" t="s">
        <v>222</v>
      </c>
      <c r="D120" s="14" t="s">
        <v>15</v>
      </c>
      <c r="E120" s="14" t="s">
        <v>56</v>
      </c>
      <c r="F120" s="15">
        <v>45666</v>
      </c>
      <c r="G120" s="16">
        <v>0.1925</v>
      </c>
      <c r="H120" s="15">
        <v>45827</v>
      </c>
      <c r="I120" s="16">
        <v>0.4325</v>
      </c>
      <c r="J120" s="15">
        <v>46030</v>
      </c>
      <c r="K120" s="16">
        <v>0.21249999999999999</v>
      </c>
      <c r="L120" s="15"/>
      <c r="M120" s="63"/>
      <c r="N120" s="17"/>
      <c r="O120" s="16"/>
      <c r="P120" s="16"/>
      <c r="Q120" s="152">
        <f t="shared" si="16"/>
        <v>0.1925</v>
      </c>
      <c r="R120" s="152">
        <f t="shared" si="17"/>
        <v>0.625</v>
      </c>
      <c r="S120" s="152">
        <f t="shared" si="18"/>
        <v>0.625</v>
      </c>
      <c r="T120" s="18">
        <f t="shared" si="19"/>
        <v>0.83750000000000002</v>
      </c>
    </row>
    <row r="121" spans="2:20" x14ac:dyDescent="0.25">
      <c r="B121" s="117" t="s">
        <v>719</v>
      </c>
      <c r="C121" s="136" t="s">
        <v>950</v>
      </c>
      <c r="D121" s="14" t="s">
        <v>941</v>
      </c>
      <c r="E121" s="14" t="s">
        <v>16</v>
      </c>
      <c r="F121" s="15">
        <v>45769</v>
      </c>
      <c r="G121" s="16">
        <v>2.9860000000000002</v>
      </c>
      <c r="H121" s="15"/>
      <c r="I121" s="16"/>
      <c r="J121" s="15"/>
      <c r="K121" s="16"/>
      <c r="L121" s="15"/>
      <c r="M121" s="63"/>
      <c r="N121" s="17"/>
      <c r="O121" s="16"/>
      <c r="P121" s="16"/>
      <c r="Q121" s="152">
        <f t="shared" si="16"/>
        <v>0</v>
      </c>
      <c r="R121" s="152">
        <f t="shared" si="17"/>
        <v>2.9860000000000002</v>
      </c>
      <c r="S121" s="152">
        <f t="shared" si="18"/>
        <v>2.9860000000000002</v>
      </c>
      <c r="T121" s="18">
        <f t="shared" si="19"/>
        <v>2.9860000000000002</v>
      </c>
    </row>
    <row r="122" spans="2:20" x14ac:dyDescent="0.25">
      <c r="B122" s="117" t="s">
        <v>225</v>
      </c>
      <c r="C122" s="136" t="s">
        <v>226</v>
      </c>
      <c r="D122" s="14" t="s">
        <v>15</v>
      </c>
      <c r="E122" s="14" t="s">
        <v>16</v>
      </c>
      <c r="F122" s="15">
        <v>45799</v>
      </c>
      <c r="G122" s="16">
        <v>0.31819999999999998</v>
      </c>
      <c r="H122" s="15">
        <v>45954</v>
      </c>
      <c r="I122" s="16">
        <v>0.47689999999999999</v>
      </c>
      <c r="J122" s="15">
        <v>45995</v>
      </c>
      <c r="K122" s="16">
        <v>7.6999999999999999E-2</v>
      </c>
      <c r="L122" s="15"/>
      <c r="M122" s="63"/>
      <c r="N122" s="17"/>
      <c r="O122" s="16"/>
      <c r="P122" s="16"/>
      <c r="Q122" s="152">
        <f t="shared" si="16"/>
        <v>0</v>
      </c>
      <c r="R122" s="152">
        <f t="shared" si="17"/>
        <v>0.31819999999999998</v>
      </c>
      <c r="S122" s="152">
        <f t="shared" si="18"/>
        <v>0.31819999999999998</v>
      </c>
      <c r="T122" s="18">
        <f t="shared" si="19"/>
        <v>0.87209999999999988</v>
      </c>
    </row>
    <row r="123" spans="2:20" x14ac:dyDescent="0.25">
      <c r="B123" s="117" t="s">
        <v>810</v>
      </c>
      <c r="C123" s="136" t="s">
        <v>811</v>
      </c>
      <c r="D123" s="14" t="s">
        <v>15</v>
      </c>
      <c r="E123" s="14" t="s">
        <v>16</v>
      </c>
      <c r="F123" s="15"/>
      <c r="G123" s="16"/>
      <c r="H123" s="15"/>
      <c r="I123" s="16"/>
      <c r="J123" s="15"/>
      <c r="K123" s="16"/>
      <c r="L123" s="15"/>
      <c r="M123" s="63"/>
      <c r="N123" s="17"/>
      <c r="O123" s="16"/>
      <c r="P123" s="16"/>
      <c r="Q123" s="152">
        <f t="shared" si="16"/>
        <v>0</v>
      </c>
      <c r="R123" s="152">
        <f t="shared" si="17"/>
        <v>0</v>
      </c>
      <c r="S123" s="152">
        <f t="shared" si="18"/>
        <v>0</v>
      </c>
      <c r="T123" s="18">
        <f t="shared" si="19"/>
        <v>0</v>
      </c>
    </row>
    <row r="124" spans="2:20" x14ac:dyDescent="0.25">
      <c r="B124" s="117" t="s">
        <v>229</v>
      </c>
      <c r="C124" s="136" t="s">
        <v>230</v>
      </c>
      <c r="D124" s="14" t="s">
        <v>15</v>
      </c>
      <c r="E124" s="14" t="s">
        <v>16</v>
      </c>
      <c r="F124" s="175">
        <v>45749</v>
      </c>
      <c r="G124" s="154">
        <f>0.9*0.96483826</f>
        <v>0.86835443400000001</v>
      </c>
      <c r="H124" s="15"/>
      <c r="I124" s="16"/>
      <c r="J124" s="15"/>
      <c r="K124" s="16"/>
      <c r="L124" s="15"/>
      <c r="M124" s="63"/>
      <c r="N124" s="17"/>
      <c r="O124" s="16"/>
      <c r="P124" s="16"/>
      <c r="Q124" s="152">
        <f t="shared" si="16"/>
        <v>0</v>
      </c>
      <c r="R124" s="152">
        <f t="shared" si="17"/>
        <v>0.86835443400000001</v>
      </c>
      <c r="S124" s="152">
        <f t="shared" si="18"/>
        <v>0.86835443400000001</v>
      </c>
      <c r="T124" s="18">
        <f t="shared" si="19"/>
        <v>0.86835443400000001</v>
      </c>
    </row>
    <row r="125" spans="2:20" x14ac:dyDescent="0.25">
      <c r="B125" s="117" t="s">
        <v>231</v>
      </c>
      <c r="C125" s="136" t="s">
        <v>232</v>
      </c>
      <c r="D125" s="14" t="s">
        <v>15</v>
      </c>
      <c r="E125" s="14" t="s">
        <v>16</v>
      </c>
      <c r="F125" s="15">
        <v>45803</v>
      </c>
      <c r="G125" s="16">
        <v>1</v>
      </c>
      <c r="H125" s="15"/>
      <c r="I125" s="16"/>
      <c r="J125" s="15"/>
      <c r="K125" s="16"/>
      <c r="L125" s="15"/>
      <c r="M125" s="63"/>
      <c r="N125" s="17"/>
      <c r="O125" s="16"/>
      <c r="P125" s="47"/>
      <c r="Q125" s="152">
        <f t="shared" si="16"/>
        <v>0</v>
      </c>
      <c r="R125" s="152">
        <f t="shared" si="17"/>
        <v>1</v>
      </c>
      <c r="S125" s="152">
        <f t="shared" si="18"/>
        <v>1</v>
      </c>
      <c r="T125" s="18">
        <f t="shared" si="19"/>
        <v>1</v>
      </c>
    </row>
    <row r="126" spans="2:20" x14ac:dyDescent="0.25">
      <c r="B126" s="117" t="s">
        <v>867</v>
      </c>
      <c r="C126" s="136" t="s">
        <v>868</v>
      </c>
      <c r="D126" s="14" t="s">
        <v>15</v>
      </c>
      <c r="E126" s="14" t="s">
        <v>16</v>
      </c>
      <c r="F126" s="15">
        <v>45800</v>
      </c>
      <c r="G126" s="16">
        <v>1.44</v>
      </c>
      <c r="H126" s="15"/>
      <c r="I126" s="16"/>
      <c r="J126" s="15"/>
      <c r="K126" s="16"/>
      <c r="L126" s="15"/>
      <c r="M126" s="63"/>
      <c r="N126" s="17"/>
      <c r="O126" s="16"/>
      <c r="P126" s="47"/>
      <c r="Q126" s="152">
        <f t="shared" si="16"/>
        <v>0</v>
      </c>
      <c r="R126" s="152">
        <f t="shared" si="17"/>
        <v>1.44</v>
      </c>
      <c r="S126" s="152">
        <f t="shared" si="18"/>
        <v>1.44</v>
      </c>
      <c r="T126" s="18">
        <f t="shared" si="19"/>
        <v>1.44</v>
      </c>
    </row>
    <row r="127" spans="2:20" x14ac:dyDescent="0.25">
      <c r="B127" s="117" t="s">
        <v>796</v>
      </c>
      <c r="C127" s="136" t="s">
        <v>797</v>
      </c>
      <c r="D127" s="14" t="s">
        <v>15</v>
      </c>
      <c r="E127" s="14" t="s">
        <v>56</v>
      </c>
      <c r="F127" s="15">
        <v>45730</v>
      </c>
      <c r="G127" s="16">
        <v>0.2</v>
      </c>
      <c r="H127" s="15">
        <v>45820</v>
      </c>
      <c r="I127" s="16">
        <v>0.18</v>
      </c>
      <c r="J127" s="15">
        <v>45912</v>
      </c>
      <c r="K127" s="16">
        <v>0.36</v>
      </c>
      <c r="L127" s="15">
        <v>46003</v>
      </c>
      <c r="M127" s="63">
        <v>0.19</v>
      </c>
      <c r="N127" s="17"/>
      <c r="O127" s="16"/>
      <c r="P127" s="47"/>
      <c r="Q127" s="152">
        <f t="shared" si="16"/>
        <v>0.2</v>
      </c>
      <c r="R127" s="152">
        <f t="shared" si="17"/>
        <v>0.38</v>
      </c>
      <c r="S127" s="152">
        <f t="shared" si="18"/>
        <v>0.74</v>
      </c>
      <c r="T127" s="18">
        <f t="shared" si="19"/>
        <v>0.92999999999999994</v>
      </c>
    </row>
    <row r="128" spans="2:20" x14ac:dyDescent="0.25">
      <c r="B128" s="117" t="s">
        <v>233</v>
      </c>
      <c r="C128" s="136" t="s">
        <v>234</v>
      </c>
      <c r="D128" s="14" t="s">
        <v>15</v>
      </c>
      <c r="E128" s="14" t="s">
        <v>16</v>
      </c>
      <c r="F128" s="15">
        <v>45775</v>
      </c>
      <c r="G128" s="16">
        <v>0.75</v>
      </c>
      <c r="H128" s="15"/>
      <c r="I128" s="16"/>
      <c r="J128" s="15"/>
      <c r="K128" s="16"/>
      <c r="L128" s="15"/>
      <c r="M128" s="63"/>
      <c r="N128" s="17"/>
      <c r="O128" s="16"/>
      <c r="P128" s="47"/>
      <c r="Q128" s="152">
        <f t="shared" si="16"/>
        <v>0</v>
      </c>
      <c r="R128" s="152">
        <f t="shared" si="17"/>
        <v>0.75</v>
      </c>
      <c r="S128" s="152">
        <f t="shared" si="18"/>
        <v>0.75</v>
      </c>
      <c r="T128" s="18">
        <f t="shared" si="19"/>
        <v>0.75</v>
      </c>
    </row>
    <row r="129" spans="2:20" x14ac:dyDescent="0.25">
      <c r="B129" s="117" t="s">
        <v>235</v>
      </c>
      <c r="C129" s="136" t="s">
        <v>236</v>
      </c>
      <c r="D129" s="14" t="s">
        <v>237</v>
      </c>
      <c r="E129" s="14" t="s">
        <v>16</v>
      </c>
      <c r="F129" s="15">
        <v>45803</v>
      </c>
      <c r="G129" s="16">
        <v>0.34</v>
      </c>
      <c r="H129" s="15">
        <v>45883</v>
      </c>
      <c r="I129" s="16">
        <v>0.31</v>
      </c>
      <c r="J129" s="15"/>
      <c r="K129" s="16"/>
      <c r="L129" s="15"/>
      <c r="M129" s="63"/>
      <c r="N129" s="17"/>
      <c r="O129" s="16"/>
      <c r="P129" s="16"/>
      <c r="Q129" s="152">
        <f t="shared" si="16"/>
        <v>0</v>
      </c>
      <c r="R129" s="152">
        <f t="shared" si="17"/>
        <v>0.34</v>
      </c>
      <c r="S129" s="152">
        <f t="shared" si="18"/>
        <v>0.65</v>
      </c>
      <c r="T129" s="18">
        <f t="shared" si="19"/>
        <v>0.65</v>
      </c>
    </row>
    <row r="130" spans="2:20" x14ac:dyDescent="0.25">
      <c r="B130" s="117" t="s">
        <v>242</v>
      </c>
      <c r="C130" s="136" t="s">
        <v>243</v>
      </c>
      <c r="D130" s="14" t="s">
        <v>15</v>
      </c>
      <c r="E130" s="14" t="s">
        <v>21</v>
      </c>
      <c r="F130" s="15">
        <v>45769</v>
      </c>
      <c r="G130" s="16">
        <v>12.8</v>
      </c>
      <c r="H130" s="15"/>
      <c r="I130" s="16"/>
      <c r="J130" s="15"/>
      <c r="K130" s="16"/>
      <c r="L130" s="15"/>
      <c r="M130" s="63"/>
      <c r="N130" s="17"/>
      <c r="O130" s="16"/>
      <c r="P130" s="16"/>
      <c r="Q130" s="152">
        <f t="shared" si="16"/>
        <v>0</v>
      </c>
      <c r="R130" s="152">
        <f t="shared" si="17"/>
        <v>12.8</v>
      </c>
      <c r="S130" s="152">
        <f t="shared" si="18"/>
        <v>12.8</v>
      </c>
      <c r="T130" s="18">
        <f t="shared" si="19"/>
        <v>12.8</v>
      </c>
    </row>
    <row r="131" spans="2:20" x14ac:dyDescent="0.25">
      <c r="B131" s="117" t="s">
        <v>946</v>
      </c>
      <c r="C131" s="136" t="s">
        <v>947</v>
      </c>
      <c r="D131" s="14" t="s">
        <v>941</v>
      </c>
      <c r="E131" s="14" t="s">
        <v>16</v>
      </c>
      <c r="F131" s="15">
        <v>45796</v>
      </c>
      <c r="G131" s="16">
        <v>1.43</v>
      </c>
      <c r="H131" s="15"/>
      <c r="I131" s="16"/>
      <c r="J131" s="15"/>
      <c r="K131" s="16"/>
      <c r="L131" s="15"/>
      <c r="M131" s="63"/>
      <c r="N131" s="17"/>
      <c r="O131" s="16"/>
      <c r="P131" s="16"/>
      <c r="Q131" s="152">
        <f t="shared" si="16"/>
        <v>0</v>
      </c>
      <c r="R131" s="152">
        <f t="shared" si="17"/>
        <v>1.43</v>
      </c>
      <c r="S131" s="152">
        <f t="shared" si="18"/>
        <v>1.43</v>
      </c>
      <c r="T131" s="18">
        <f t="shared" si="19"/>
        <v>1.43</v>
      </c>
    </row>
    <row r="132" spans="2:20" x14ac:dyDescent="0.25">
      <c r="B132" s="117" t="s">
        <v>825</v>
      </c>
      <c r="C132" s="136" t="s">
        <v>824</v>
      </c>
      <c r="D132" s="14" t="s">
        <v>15</v>
      </c>
      <c r="E132" s="14" t="s">
        <v>200</v>
      </c>
      <c r="F132" s="15">
        <v>45770</v>
      </c>
      <c r="G132" s="16">
        <v>4.5999999999999996</v>
      </c>
      <c r="H132" s="15"/>
      <c r="I132" s="16"/>
      <c r="J132" s="15"/>
      <c r="K132" s="16"/>
      <c r="L132" s="15"/>
      <c r="M132" s="63"/>
      <c r="N132" s="17"/>
      <c r="O132" s="16"/>
      <c r="P132" s="16"/>
      <c r="Q132" s="152">
        <f t="shared" si="16"/>
        <v>0</v>
      </c>
      <c r="R132" s="152">
        <f t="shared" si="17"/>
        <v>4.5999999999999996</v>
      </c>
      <c r="S132" s="152">
        <f t="shared" si="18"/>
        <v>4.5999999999999996</v>
      </c>
      <c r="T132" s="18">
        <f t="shared" si="19"/>
        <v>4.5999999999999996</v>
      </c>
    </row>
    <row r="133" spans="2:20" x14ac:dyDescent="0.25">
      <c r="B133" s="117" t="s">
        <v>248</v>
      </c>
      <c r="C133" s="136" t="s">
        <v>249</v>
      </c>
      <c r="D133" s="14" t="s">
        <v>15</v>
      </c>
      <c r="E133" s="14" t="s">
        <v>21</v>
      </c>
      <c r="F133" s="15">
        <v>45740</v>
      </c>
      <c r="G133" s="16">
        <v>70</v>
      </c>
      <c r="H133" s="15"/>
      <c r="I133" s="16"/>
      <c r="J133" s="15"/>
      <c r="K133" s="16"/>
      <c r="L133" s="15"/>
      <c r="M133" s="63"/>
      <c r="N133" s="17"/>
      <c r="O133" s="16"/>
      <c r="P133" s="16"/>
      <c r="Q133" s="152">
        <f t="shared" si="16"/>
        <v>0</v>
      </c>
      <c r="R133" s="152">
        <f t="shared" si="17"/>
        <v>70</v>
      </c>
      <c r="S133" s="152">
        <f t="shared" si="18"/>
        <v>70</v>
      </c>
      <c r="T133" s="18">
        <f t="shared" si="19"/>
        <v>70</v>
      </c>
    </row>
    <row r="134" spans="2:20" x14ac:dyDescent="0.25">
      <c r="B134" s="117" t="s">
        <v>915</v>
      </c>
      <c r="C134" s="136" t="s">
        <v>916</v>
      </c>
      <c r="D134" s="14" t="s">
        <v>755</v>
      </c>
      <c r="E134" s="14" t="s">
        <v>475</v>
      </c>
      <c r="F134" s="175">
        <v>45737</v>
      </c>
      <c r="G134" s="154">
        <f>9*0.9957483</f>
        <v>8.9617347000000009</v>
      </c>
      <c r="H134" s="15"/>
      <c r="I134" s="16"/>
      <c r="J134" s="15"/>
      <c r="K134" s="16"/>
      <c r="L134" s="15"/>
      <c r="M134" s="63"/>
      <c r="N134" s="17"/>
      <c r="O134" s="16"/>
      <c r="P134" s="16"/>
      <c r="Q134" s="152">
        <f t="shared" si="16"/>
        <v>8.9617347000000009</v>
      </c>
      <c r="R134" s="152">
        <f t="shared" si="17"/>
        <v>8.9617347000000009</v>
      </c>
      <c r="S134" s="152">
        <f t="shared" si="18"/>
        <v>8.9617347000000009</v>
      </c>
      <c r="T134" s="18">
        <f t="shared" si="19"/>
        <v>8.9617347000000009</v>
      </c>
    </row>
    <row r="135" spans="2:20" x14ac:dyDescent="0.25">
      <c r="B135" s="117" t="s">
        <v>252</v>
      </c>
      <c r="C135" s="136" t="s">
        <v>253</v>
      </c>
      <c r="D135" s="14" t="s">
        <v>15</v>
      </c>
      <c r="E135" s="14" t="s">
        <v>56</v>
      </c>
      <c r="F135" s="15">
        <v>45778</v>
      </c>
      <c r="G135" s="16">
        <v>0.05</v>
      </c>
      <c r="H135" s="15">
        <v>45897</v>
      </c>
      <c r="I135" s="16">
        <v>0.05</v>
      </c>
      <c r="J135" s="15"/>
      <c r="K135" s="16"/>
      <c r="L135" s="15"/>
      <c r="M135" s="63"/>
      <c r="N135" s="17"/>
      <c r="O135" s="16"/>
      <c r="P135" s="16"/>
      <c r="Q135" s="152">
        <f t="shared" si="16"/>
        <v>0</v>
      </c>
      <c r="R135" s="152">
        <f t="shared" si="17"/>
        <v>0.05</v>
      </c>
      <c r="S135" s="152">
        <f t="shared" si="18"/>
        <v>0.1</v>
      </c>
      <c r="T135" s="18">
        <f t="shared" si="19"/>
        <v>0.1</v>
      </c>
    </row>
    <row r="136" spans="2:20" x14ac:dyDescent="0.25">
      <c r="B136" s="117" t="s">
        <v>254</v>
      </c>
      <c r="C136" s="136" t="s">
        <v>255</v>
      </c>
      <c r="D136" s="14" t="s">
        <v>27</v>
      </c>
      <c r="E136" s="14" t="s">
        <v>16</v>
      </c>
      <c r="F136" s="15">
        <v>45786</v>
      </c>
      <c r="G136" s="16">
        <v>5</v>
      </c>
      <c r="H136" s="15"/>
      <c r="I136" s="16"/>
      <c r="J136" s="15"/>
      <c r="K136" s="16"/>
      <c r="L136" s="15"/>
      <c r="M136" s="63"/>
      <c r="N136" s="17"/>
      <c r="O136" s="16"/>
      <c r="P136" s="16"/>
      <c r="Q136" s="152">
        <f t="shared" si="16"/>
        <v>0</v>
      </c>
      <c r="R136" s="152">
        <f t="shared" si="17"/>
        <v>5</v>
      </c>
      <c r="S136" s="152">
        <f t="shared" si="18"/>
        <v>5</v>
      </c>
      <c r="T136" s="18">
        <f t="shared" si="19"/>
        <v>5</v>
      </c>
    </row>
    <row r="137" spans="2:20" x14ac:dyDescent="0.25">
      <c r="B137" s="117" t="s">
        <v>883</v>
      </c>
      <c r="C137" s="136" t="s">
        <v>251</v>
      </c>
      <c r="D137" s="14" t="s">
        <v>15</v>
      </c>
      <c r="E137" s="14" t="s">
        <v>761</v>
      </c>
      <c r="F137" s="15">
        <v>45708</v>
      </c>
      <c r="G137" s="16">
        <v>16</v>
      </c>
      <c r="H137" s="15">
        <v>45792</v>
      </c>
      <c r="I137" s="16">
        <v>16</v>
      </c>
      <c r="J137" s="15">
        <v>45883</v>
      </c>
      <c r="K137" s="16">
        <v>16</v>
      </c>
      <c r="L137" s="15">
        <v>45974</v>
      </c>
      <c r="M137" s="63">
        <v>16</v>
      </c>
      <c r="N137" s="17"/>
      <c r="O137" s="16"/>
      <c r="P137" s="16"/>
      <c r="Q137" s="152">
        <f t="shared" si="16"/>
        <v>16</v>
      </c>
      <c r="R137" s="152">
        <f t="shared" si="17"/>
        <v>32</v>
      </c>
      <c r="S137" s="152">
        <f t="shared" si="18"/>
        <v>48</v>
      </c>
      <c r="T137" s="18">
        <f t="shared" si="19"/>
        <v>64</v>
      </c>
    </row>
    <row r="138" spans="2:20" x14ac:dyDescent="0.25">
      <c r="B138" s="117" t="s">
        <v>935</v>
      </c>
      <c r="C138" s="136" t="s">
        <v>870</v>
      </c>
      <c r="D138" s="39" t="s">
        <v>15</v>
      </c>
      <c r="E138" s="39" t="s">
        <v>16</v>
      </c>
      <c r="F138" s="15">
        <v>45793</v>
      </c>
      <c r="G138" s="16">
        <v>3.3</v>
      </c>
      <c r="H138" s="15"/>
      <c r="I138" s="16"/>
      <c r="J138" s="15"/>
      <c r="K138" s="16"/>
      <c r="L138" s="15"/>
      <c r="M138" s="63"/>
      <c r="N138" s="17"/>
      <c r="O138" s="16"/>
      <c r="P138" s="16"/>
      <c r="Q138" s="152">
        <f t="shared" si="16"/>
        <v>0</v>
      </c>
      <c r="R138" s="152">
        <f t="shared" si="17"/>
        <v>3.3</v>
      </c>
      <c r="S138" s="152">
        <f t="shared" si="18"/>
        <v>3.3</v>
      </c>
      <c r="T138" s="18">
        <f t="shared" si="19"/>
        <v>3.3</v>
      </c>
    </row>
    <row r="139" spans="2:20" x14ac:dyDescent="0.25">
      <c r="B139" s="117" t="s">
        <v>256</v>
      </c>
      <c r="C139" s="136" t="s">
        <v>257</v>
      </c>
      <c r="D139" s="39" t="s">
        <v>15</v>
      </c>
      <c r="E139" s="39" t="s">
        <v>16</v>
      </c>
      <c r="F139" s="15">
        <v>45770</v>
      </c>
      <c r="G139" s="16">
        <v>1.17</v>
      </c>
      <c r="H139" s="15">
        <v>45868</v>
      </c>
      <c r="I139" s="16">
        <v>0.74</v>
      </c>
      <c r="J139" s="15"/>
      <c r="K139" s="16"/>
      <c r="L139" s="15"/>
      <c r="M139" s="63"/>
      <c r="N139" s="17"/>
      <c r="O139" s="16"/>
      <c r="P139" s="16"/>
      <c r="Q139" s="152">
        <f t="shared" si="16"/>
        <v>0</v>
      </c>
      <c r="R139" s="152">
        <f t="shared" si="17"/>
        <v>1.17</v>
      </c>
      <c r="S139" s="152">
        <f t="shared" si="18"/>
        <v>1.91</v>
      </c>
      <c r="T139" s="18">
        <f t="shared" si="19"/>
        <v>1.91</v>
      </c>
    </row>
    <row r="140" spans="2:20" x14ac:dyDescent="0.25">
      <c r="B140" s="117" t="s">
        <v>258</v>
      </c>
      <c r="C140" s="136" t="s">
        <v>259</v>
      </c>
      <c r="D140" s="14" t="s">
        <v>15</v>
      </c>
      <c r="E140" s="14" t="s">
        <v>16</v>
      </c>
      <c r="F140" s="15">
        <v>45776</v>
      </c>
      <c r="G140" s="16">
        <v>2.04</v>
      </c>
      <c r="H140" s="15"/>
      <c r="I140" s="16"/>
      <c r="J140" s="15"/>
      <c r="K140" s="16"/>
      <c r="L140" s="15"/>
      <c r="M140" s="63"/>
      <c r="N140" s="17"/>
      <c r="O140" s="16"/>
      <c r="P140" s="16"/>
      <c r="Q140" s="152">
        <f t="shared" si="16"/>
        <v>0</v>
      </c>
      <c r="R140" s="152">
        <f t="shared" si="17"/>
        <v>2.04</v>
      </c>
      <c r="S140" s="152">
        <f t="shared" si="18"/>
        <v>2.04</v>
      </c>
      <c r="T140" s="18">
        <f t="shared" si="19"/>
        <v>2.04</v>
      </c>
    </row>
    <row r="141" spans="2:20" x14ac:dyDescent="0.25">
      <c r="B141" s="117" t="s">
        <v>260</v>
      </c>
      <c r="C141" s="136" t="s">
        <v>261</v>
      </c>
      <c r="D141" s="14" t="s">
        <v>15</v>
      </c>
      <c r="E141" s="14" t="s">
        <v>200</v>
      </c>
      <c r="F141" s="15">
        <v>45785</v>
      </c>
      <c r="G141" s="16">
        <v>3.4</v>
      </c>
      <c r="H141" s="15">
        <v>45967</v>
      </c>
      <c r="I141" s="16">
        <v>3.4</v>
      </c>
      <c r="J141" s="15"/>
      <c r="K141" s="16"/>
      <c r="L141" s="15"/>
      <c r="M141" s="63"/>
      <c r="N141" s="17"/>
      <c r="O141" s="16"/>
      <c r="P141" s="16"/>
      <c r="Q141" s="152">
        <f t="shared" si="16"/>
        <v>0</v>
      </c>
      <c r="R141" s="152">
        <f t="shared" si="17"/>
        <v>3.4</v>
      </c>
      <c r="S141" s="152">
        <f t="shared" si="18"/>
        <v>3.4</v>
      </c>
      <c r="T141" s="18">
        <f t="shared" si="19"/>
        <v>6.8</v>
      </c>
    </row>
    <row r="142" spans="2:20" x14ac:dyDescent="0.25">
      <c r="B142" s="117" t="s">
        <v>626</v>
      </c>
      <c r="C142" s="136" t="s">
        <v>627</v>
      </c>
      <c r="D142" s="14" t="s">
        <v>24</v>
      </c>
      <c r="E142" s="14" t="s">
        <v>16</v>
      </c>
      <c r="F142" s="175">
        <v>45705</v>
      </c>
      <c r="G142" s="154">
        <f>3.5*0.9959008</f>
        <v>3.4856528</v>
      </c>
      <c r="H142" s="175">
        <v>45782</v>
      </c>
      <c r="I142" s="154">
        <f>12.5*0.9959008</f>
        <v>12.44876</v>
      </c>
      <c r="J142" s="15"/>
      <c r="K142" s="16"/>
      <c r="L142" s="15"/>
      <c r="M142" s="63"/>
      <c r="N142" s="17"/>
      <c r="O142" s="16"/>
      <c r="P142" s="16"/>
      <c r="Q142" s="152">
        <f t="shared" si="16"/>
        <v>3.4856528</v>
      </c>
      <c r="R142" s="152">
        <f t="shared" si="17"/>
        <v>15.9344128</v>
      </c>
      <c r="S142" s="152">
        <f t="shared" si="18"/>
        <v>15.9344128</v>
      </c>
      <c r="T142" s="18">
        <f t="shared" si="19"/>
        <v>15.9344128</v>
      </c>
    </row>
    <row r="143" spans="2:20" x14ac:dyDescent="0.25">
      <c r="B143" s="117" t="s">
        <v>834</v>
      </c>
      <c r="C143" s="136" t="s">
        <v>835</v>
      </c>
      <c r="D143" s="45" t="s">
        <v>15</v>
      </c>
      <c r="E143" s="45" t="s">
        <v>16</v>
      </c>
      <c r="F143" s="15">
        <v>45783</v>
      </c>
      <c r="G143" s="16">
        <v>0.14000000000000001</v>
      </c>
      <c r="H143" s="15"/>
      <c r="I143" s="16"/>
      <c r="J143" s="15"/>
      <c r="K143" s="16"/>
      <c r="L143" s="15"/>
      <c r="M143" s="63"/>
      <c r="N143" s="17"/>
      <c r="O143" s="16"/>
      <c r="P143" s="16"/>
      <c r="Q143" s="152">
        <f t="shared" si="16"/>
        <v>0</v>
      </c>
      <c r="R143" s="152">
        <f t="shared" si="17"/>
        <v>0.14000000000000001</v>
      </c>
      <c r="S143" s="152">
        <f t="shared" si="18"/>
        <v>0.14000000000000001</v>
      </c>
      <c r="T143" s="18">
        <f t="shared" si="19"/>
        <v>0.14000000000000001</v>
      </c>
    </row>
    <row r="144" spans="2:20" x14ac:dyDescent="0.25">
      <c r="B144" s="117" t="s">
        <v>264</v>
      </c>
      <c r="C144" s="136" t="s">
        <v>265</v>
      </c>
      <c r="D144" s="45" t="s">
        <v>15</v>
      </c>
      <c r="E144" s="45" t="s">
        <v>56</v>
      </c>
      <c r="F144" s="15">
        <v>45722</v>
      </c>
      <c r="G144" s="16">
        <v>0.36</v>
      </c>
      <c r="H144" s="15">
        <v>45785</v>
      </c>
      <c r="I144" s="16">
        <v>0.1</v>
      </c>
      <c r="J144" s="15">
        <v>45883</v>
      </c>
      <c r="K144" s="16">
        <v>0.1</v>
      </c>
      <c r="L144" s="15">
        <v>45967</v>
      </c>
      <c r="M144" s="63">
        <v>0.1</v>
      </c>
      <c r="N144" s="17"/>
      <c r="O144" s="16"/>
      <c r="P144" s="16"/>
      <c r="Q144" s="152">
        <f t="shared" ref="Q144:Q207" si="20">IF(F144&lt;=Exp25Q1,G144,0)+IF(H144&lt;=Exp25Q1,I144,0)+IF(J144&lt;=Exp25Q1,K144,0)+IF(L144&lt;=Exp25Q1,M144,0)+IF(N144&lt;=Exp25Q1,O144,0)</f>
        <v>0.36</v>
      </c>
      <c r="R144" s="152">
        <f t="shared" ref="R144:R207" si="21">IF(F144&lt;=Exp25H1,G144,0)+IF(H144&lt;=Exp25H1,I144,0)+IF(J144&lt;=Exp25H1,K144,0)+IF(L144&lt;=Exp25H1,M144,0)+IF(N144&lt;=Exp25H1,O144,0)</f>
        <v>0.45999999999999996</v>
      </c>
      <c r="S144" s="152">
        <f t="shared" ref="S144:S207" si="22">IF(F144&lt;=Exp25Q3,G144,0)+IF(H144&lt;=Exp25Q3,I144,0)+IF(J144&lt;=Exp25Q3,K144,0)+IF(L144&lt;=Exp25Q3,M144,0)+IF(N144&lt;=Exp25Q3,O144,0)</f>
        <v>0.55999999999999994</v>
      </c>
      <c r="T144" s="18">
        <f t="shared" ref="T144:T207" si="23">G144+I144+K144+M144+O144</f>
        <v>0.65999999999999992</v>
      </c>
    </row>
    <row r="145" spans="2:20" x14ac:dyDescent="0.25">
      <c r="B145" s="117" t="s">
        <v>268</v>
      </c>
      <c r="C145" s="136" t="s">
        <v>269</v>
      </c>
      <c r="D145" s="14" t="s">
        <v>15</v>
      </c>
      <c r="E145" s="14" t="s">
        <v>761</v>
      </c>
      <c r="F145" s="15">
        <v>45708</v>
      </c>
      <c r="G145" s="16">
        <v>54.26</v>
      </c>
      <c r="H145" s="15">
        <v>45799</v>
      </c>
      <c r="I145" s="16">
        <v>40.08</v>
      </c>
      <c r="J145" s="15">
        <v>45890</v>
      </c>
      <c r="K145" s="16">
        <v>40.08</v>
      </c>
      <c r="L145" s="15">
        <v>45988</v>
      </c>
      <c r="M145" s="63">
        <v>40.08</v>
      </c>
      <c r="N145" s="17"/>
      <c r="O145" s="16"/>
      <c r="P145" s="16"/>
      <c r="Q145" s="152">
        <f t="shared" si="20"/>
        <v>54.26</v>
      </c>
      <c r="R145" s="152">
        <f t="shared" si="21"/>
        <v>94.34</v>
      </c>
      <c r="S145" s="152">
        <f t="shared" si="22"/>
        <v>134.42000000000002</v>
      </c>
      <c r="T145" s="18">
        <f t="shared" si="23"/>
        <v>174.5</v>
      </c>
    </row>
    <row r="146" spans="2:20" x14ac:dyDescent="0.25">
      <c r="B146" s="117" t="s">
        <v>270</v>
      </c>
      <c r="C146" s="136" t="s">
        <v>271</v>
      </c>
      <c r="D146" s="14" t="s">
        <v>15</v>
      </c>
      <c r="E146" s="14" t="s">
        <v>16</v>
      </c>
      <c r="F146" s="175">
        <v>45776</v>
      </c>
      <c r="G146" s="154">
        <f>0.84*0.98875945</f>
        <v>0.830557938</v>
      </c>
      <c r="H146" s="175">
        <v>45959</v>
      </c>
      <c r="I146" s="154">
        <f>0.29*0.98875945</f>
        <v>0.28674024049999997</v>
      </c>
      <c r="J146" s="15"/>
      <c r="K146" s="16"/>
      <c r="L146" s="15"/>
      <c r="M146" s="63"/>
      <c r="N146" s="17"/>
      <c r="O146" s="16"/>
      <c r="P146" s="16"/>
      <c r="Q146" s="152">
        <f t="shared" si="20"/>
        <v>0</v>
      </c>
      <c r="R146" s="152">
        <f t="shared" si="21"/>
        <v>0.830557938</v>
      </c>
      <c r="S146" s="152">
        <f t="shared" si="22"/>
        <v>0.830557938</v>
      </c>
      <c r="T146" s="18">
        <f t="shared" si="23"/>
        <v>1.1172981785</v>
      </c>
    </row>
    <row r="147" spans="2:20" x14ac:dyDescent="0.25">
      <c r="B147" s="117" t="s">
        <v>871</v>
      </c>
      <c r="C147" s="136" t="s">
        <v>872</v>
      </c>
      <c r="D147" s="14" t="s">
        <v>15</v>
      </c>
      <c r="E147" s="14" t="s">
        <v>16</v>
      </c>
      <c r="F147" s="15">
        <v>45709</v>
      </c>
      <c r="G147" s="16">
        <v>0.35</v>
      </c>
      <c r="H147" s="15"/>
      <c r="I147" s="16"/>
      <c r="J147" s="15"/>
      <c r="K147" s="16"/>
      <c r="L147" s="15"/>
      <c r="M147" s="63"/>
      <c r="N147" s="17"/>
      <c r="O147" s="16"/>
      <c r="P147" s="16"/>
      <c r="Q147" s="152">
        <f t="shared" si="20"/>
        <v>0.35</v>
      </c>
      <c r="R147" s="152">
        <f t="shared" si="21"/>
        <v>0.35</v>
      </c>
      <c r="S147" s="152">
        <f t="shared" si="22"/>
        <v>0.35</v>
      </c>
      <c r="T147" s="18">
        <f t="shared" si="23"/>
        <v>0.35</v>
      </c>
    </row>
    <row r="148" spans="2:20" x14ac:dyDescent="0.25">
      <c r="B148" s="117" t="s">
        <v>273</v>
      </c>
      <c r="C148" s="136" t="s">
        <v>274</v>
      </c>
      <c r="D148" s="14" t="s">
        <v>15</v>
      </c>
      <c r="E148" s="14" t="s">
        <v>16</v>
      </c>
      <c r="F148" s="15">
        <v>45771</v>
      </c>
      <c r="G148" s="16">
        <v>0.71</v>
      </c>
      <c r="H148" s="15">
        <v>45873</v>
      </c>
      <c r="I148" s="16">
        <v>0.35</v>
      </c>
      <c r="J148" s="15"/>
      <c r="K148" s="16"/>
      <c r="L148" s="15"/>
      <c r="M148" s="63"/>
      <c r="N148" s="17"/>
      <c r="O148" s="16"/>
      <c r="P148" s="16"/>
      <c r="Q148" s="152">
        <f t="shared" si="20"/>
        <v>0</v>
      </c>
      <c r="R148" s="152">
        <f t="shared" si="21"/>
        <v>0.71</v>
      </c>
      <c r="S148" s="152">
        <f t="shared" si="22"/>
        <v>1.06</v>
      </c>
      <c r="T148" s="18">
        <f t="shared" si="23"/>
        <v>1.06</v>
      </c>
    </row>
    <row r="149" spans="2:20" x14ac:dyDescent="0.25">
      <c r="B149" s="117" t="s">
        <v>948</v>
      </c>
      <c r="C149" s="136" t="s">
        <v>949</v>
      </c>
      <c r="D149" s="14" t="s">
        <v>941</v>
      </c>
      <c r="E149" s="14" t="s">
        <v>16</v>
      </c>
      <c r="F149" s="15">
        <v>45796</v>
      </c>
      <c r="G149" s="16">
        <v>0.17100000000000001</v>
      </c>
      <c r="H149" s="15">
        <v>45985</v>
      </c>
      <c r="I149" s="16">
        <v>0.186</v>
      </c>
      <c r="J149" s="15"/>
      <c r="K149" s="16"/>
      <c r="L149" s="15"/>
      <c r="M149" s="63"/>
      <c r="N149" s="17"/>
      <c r="O149" s="16"/>
      <c r="P149" s="16"/>
      <c r="Q149" s="152">
        <f t="shared" si="20"/>
        <v>0</v>
      </c>
      <c r="R149" s="152">
        <f t="shared" si="21"/>
        <v>0.17100000000000001</v>
      </c>
      <c r="S149" s="152">
        <f t="shared" si="22"/>
        <v>0.17100000000000001</v>
      </c>
      <c r="T149" s="18">
        <f t="shared" si="23"/>
        <v>0.35699999999999998</v>
      </c>
    </row>
    <row r="150" spans="2:20" x14ac:dyDescent="0.25">
      <c r="B150" s="117" t="s">
        <v>836</v>
      </c>
      <c r="C150" s="136" t="s">
        <v>837</v>
      </c>
      <c r="D150" s="14" t="s">
        <v>15</v>
      </c>
      <c r="E150" s="14" t="s">
        <v>200</v>
      </c>
      <c r="F150" s="15">
        <v>45785</v>
      </c>
      <c r="G150" s="16">
        <v>3.75</v>
      </c>
      <c r="H150" s="15">
        <v>45968</v>
      </c>
      <c r="I150" s="16">
        <v>1.45</v>
      </c>
      <c r="J150" s="15"/>
      <c r="K150" s="16"/>
      <c r="L150" s="15"/>
      <c r="M150" s="63"/>
      <c r="N150" s="17"/>
      <c r="O150" s="16"/>
      <c r="P150" s="16"/>
      <c r="Q150" s="152">
        <f t="shared" si="20"/>
        <v>0</v>
      </c>
      <c r="R150" s="152">
        <f t="shared" si="21"/>
        <v>3.75</v>
      </c>
      <c r="S150" s="152">
        <f t="shared" si="22"/>
        <v>3.75</v>
      </c>
      <c r="T150" s="18">
        <f t="shared" si="23"/>
        <v>5.2</v>
      </c>
    </row>
    <row r="151" spans="2:20" x14ac:dyDescent="0.25">
      <c r="B151" s="117" t="s">
        <v>751</v>
      </c>
      <c r="C151" s="136" t="s">
        <v>752</v>
      </c>
      <c r="D151" s="14" t="s">
        <v>237</v>
      </c>
      <c r="E151" s="14" t="s">
        <v>16</v>
      </c>
      <c r="F151" s="15">
        <v>45790</v>
      </c>
      <c r="G151" s="16">
        <v>0.59</v>
      </c>
      <c r="H151" s="15"/>
      <c r="I151" s="16"/>
      <c r="J151" s="15"/>
      <c r="K151" s="16"/>
      <c r="L151" s="15"/>
      <c r="M151" s="63"/>
      <c r="N151" s="17"/>
      <c r="O151" s="16"/>
      <c r="P151" s="16"/>
      <c r="Q151" s="152">
        <f t="shared" si="20"/>
        <v>0</v>
      </c>
      <c r="R151" s="152">
        <f t="shared" si="21"/>
        <v>0.59</v>
      </c>
      <c r="S151" s="152">
        <f t="shared" si="22"/>
        <v>0.59</v>
      </c>
      <c r="T151" s="18">
        <f t="shared" si="23"/>
        <v>0.59</v>
      </c>
    </row>
    <row r="152" spans="2:20" x14ac:dyDescent="0.25">
      <c r="B152" s="117" t="s">
        <v>284</v>
      </c>
      <c r="C152" s="136" t="s">
        <v>285</v>
      </c>
      <c r="D152" s="14" t="s">
        <v>15</v>
      </c>
      <c r="E152" s="14" t="s">
        <v>21</v>
      </c>
      <c r="F152" s="15">
        <v>45761</v>
      </c>
      <c r="G152" s="16">
        <v>2.6</v>
      </c>
      <c r="H152" s="15"/>
      <c r="I152" s="16"/>
      <c r="J152" s="15"/>
      <c r="K152" s="16"/>
      <c r="L152" s="15"/>
      <c r="M152" s="63"/>
      <c r="N152" s="17"/>
      <c r="O152" s="16"/>
      <c r="P152" s="16"/>
      <c r="Q152" s="152">
        <f t="shared" si="20"/>
        <v>0</v>
      </c>
      <c r="R152" s="152">
        <f t="shared" si="21"/>
        <v>2.6</v>
      </c>
      <c r="S152" s="152">
        <f t="shared" si="22"/>
        <v>2.6</v>
      </c>
      <c r="T152" s="18">
        <f t="shared" si="23"/>
        <v>2.6</v>
      </c>
    </row>
    <row r="153" spans="2:20" x14ac:dyDescent="0.25">
      <c r="B153" s="12" t="s">
        <v>286</v>
      </c>
      <c r="C153" s="136" t="s">
        <v>287</v>
      </c>
      <c r="D153" s="14" t="s">
        <v>15</v>
      </c>
      <c r="E153" s="14" t="s">
        <v>16</v>
      </c>
      <c r="F153" s="15">
        <v>45792</v>
      </c>
      <c r="G153" s="16">
        <v>0.15</v>
      </c>
      <c r="H153" s="15"/>
      <c r="I153" s="16"/>
      <c r="J153" s="15"/>
      <c r="K153" s="16"/>
      <c r="L153" s="15"/>
      <c r="M153" s="63"/>
      <c r="N153" s="17"/>
      <c r="O153" s="16"/>
      <c r="P153" s="16"/>
      <c r="Q153" s="152">
        <f t="shared" si="20"/>
        <v>0</v>
      </c>
      <c r="R153" s="152">
        <f t="shared" si="21"/>
        <v>0.15</v>
      </c>
      <c r="S153" s="152">
        <f t="shared" si="22"/>
        <v>0.15</v>
      </c>
      <c r="T153" s="18">
        <f t="shared" si="23"/>
        <v>0.15</v>
      </c>
    </row>
    <row r="154" spans="2:20" x14ac:dyDescent="0.25">
      <c r="B154" s="117" t="s">
        <v>288</v>
      </c>
      <c r="C154" s="136" t="s">
        <v>289</v>
      </c>
      <c r="D154" s="14" t="s">
        <v>27</v>
      </c>
      <c r="E154" s="14" t="s">
        <v>16</v>
      </c>
      <c r="F154" s="15">
        <v>45783</v>
      </c>
      <c r="G154" s="16">
        <v>3.15</v>
      </c>
      <c r="H154" s="15">
        <v>45966</v>
      </c>
      <c r="I154" s="16">
        <v>1</v>
      </c>
      <c r="J154" s="15"/>
      <c r="K154" s="16"/>
      <c r="L154" s="15"/>
      <c r="M154" s="63"/>
      <c r="N154" s="17"/>
      <c r="O154" s="16"/>
      <c r="P154" s="16"/>
      <c r="Q154" s="152">
        <f t="shared" si="20"/>
        <v>0</v>
      </c>
      <c r="R154" s="152">
        <f t="shared" si="21"/>
        <v>3.15</v>
      </c>
      <c r="S154" s="152">
        <f t="shared" si="22"/>
        <v>3.15</v>
      </c>
      <c r="T154" s="18">
        <f t="shared" si="23"/>
        <v>4.1500000000000004</v>
      </c>
    </row>
    <row r="155" spans="2:20" x14ac:dyDescent="0.25">
      <c r="B155" s="117" t="s">
        <v>290</v>
      </c>
      <c r="C155" s="136" t="s">
        <v>291</v>
      </c>
      <c r="D155" s="14" t="s">
        <v>24</v>
      </c>
      <c r="E155" s="14" t="s">
        <v>16</v>
      </c>
      <c r="F155" s="15">
        <v>45671</v>
      </c>
      <c r="G155" s="16">
        <v>2</v>
      </c>
      <c r="H155" s="15">
        <v>45782</v>
      </c>
      <c r="I155" s="16">
        <v>4</v>
      </c>
      <c r="J155" s="15"/>
      <c r="K155" s="16"/>
      <c r="L155" s="15"/>
      <c r="M155" s="63"/>
      <c r="N155" s="17"/>
      <c r="O155" s="16"/>
      <c r="P155" s="16"/>
      <c r="Q155" s="152">
        <f t="shared" si="20"/>
        <v>2</v>
      </c>
      <c r="R155" s="152">
        <f t="shared" si="21"/>
        <v>6</v>
      </c>
      <c r="S155" s="152">
        <f t="shared" si="22"/>
        <v>6</v>
      </c>
      <c r="T155" s="18">
        <f t="shared" si="23"/>
        <v>6</v>
      </c>
    </row>
    <row r="156" spans="2:20" x14ac:dyDescent="0.25">
      <c r="B156" s="117" t="s">
        <v>292</v>
      </c>
      <c r="C156" s="136" t="s">
        <v>293</v>
      </c>
      <c r="D156" s="14" t="s">
        <v>15</v>
      </c>
      <c r="E156" s="14" t="s">
        <v>16</v>
      </c>
      <c r="F156" s="15">
        <v>45670</v>
      </c>
      <c r="G156" s="16">
        <v>0.25</v>
      </c>
      <c r="H156" s="15">
        <v>45741</v>
      </c>
      <c r="I156" s="16">
        <v>0.23</v>
      </c>
      <c r="J156" s="15">
        <v>45852</v>
      </c>
      <c r="K156" s="16">
        <v>0.22</v>
      </c>
      <c r="L156" s="15">
        <v>45943</v>
      </c>
      <c r="M156" s="63">
        <v>0.23</v>
      </c>
      <c r="N156" s="17"/>
      <c r="O156" s="16"/>
      <c r="P156" s="16"/>
      <c r="Q156" s="152">
        <f t="shared" si="20"/>
        <v>0.25</v>
      </c>
      <c r="R156" s="152">
        <f t="shared" si="21"/>
        <v>0.48</v>
      </c>
      <c r="S156" s="152">
        <f t="shared" si="22"/>
        <v>0.7</v>
      </c>
      <c r="T156" s="18">
        <f t="shared" si="23"/>
        <v>0.92999999999999994</v>
      </c>
    </row>
    <row r="157" spans="2:20" x14ac:dyDescent="0.25">
      <c r="B157" s="117" t="s">
        <v>294</v>
      </c>
      <c r="C157" s="136" t="s">
        <v>295</v>
      </c>
      <c r="D157" s="14" t="s">
        <v>15</v>
      </c>
      <c r="E157" s="14" t="s">
        <v>200</v>
      </c>
      <c r="F157" s="15"/>
      <c r="G157" s="16"/>
      <c r="H157" s="15"/>
      <c r="I157" s="16"/>
      <c r="J157" s="15"/>
      <c r="K157" s="16"/>
      <c r="L157" s="15"/>
      <c r="M157" s="63"/>
      <c r="N157" s="17"/>
      <c r="O157" s="16"/>
      <c r="P157" s="16"/>
      <c r="Q157" s="152">
        <f t="shared" si="20"/>
        <v>0</v>
      </c>
      <c r="R157" s="152">
        <f t="shared" si="21"/>
        <v>0</v>
      </c>
      <c r="S157" s="152">
        <f t="shared" si="22"/>
        <v>0</v>
      </c>
      <c r="T157" s="18">
        <f t="shared" si="23"/>
        <v>0</v>
      </c>
    </row>
    <row r="158" spans="2:20" x14ac:dyDescent="0.25">
      <c r="B158" s="117" t="s">
        <v>688</v>
      </c>
      <c r="C158" s="136" t="s">
        <v>689</v>
      </c>
      <c r="D158" s="14" t="s">
        <v>24</v>
      </c>
      <c r="E158" s="14" t="s">
        <v>16</v>
      </c>
      <c r="F158" s="15">
        <v>45720</v>
      </c>
      <c r="G158" s="16">
        <v>0.92500000000000004</v>
      </c>
      <c r="H158" s="15">
        <v>45846</v>
      </c>
      <c r="I158" s="16">
        <v>0.92500000000000004</v>
      </c>
      <c r="J158" s="15"/>
      <c r="K158" s="16"/>
      <c r="L158" s="15"/>
      <c r="M158" s="63"/>
      <c r="N158" s="17"/>
      <c r="O158" s="16"/>
      <c r="P158" s="16"/>
      <c r="Q158" s="152">
        <f t="shared" si="20"/>
        <v>0.92500000000000004</v>
      </c>
      <c r="R158" s="152">
        <f t="shared" si="21"/>
        <v>0.92500000000000004</v>
      </c>
      <c r="S158" s="152">
        <f t="shared" si="22"/>
        <v>1.85</v>
      </c>
      <c r="T158" s="18">
        <f t="shared" si="23"/>
        <v>1.85</v>
      </c>
    </row>
    <row r="159" spans="2:20" x14ac:dyDescent="0.25">
      <c r="B159" s="117" t="s">
        <v>861</v>
      </c>
      <c r="C159" s="136" t="s">
        <v>862</v>
      </c>
      <c r="D159" s="14" t="s">
        <v>15</v>
      </c>
      <c r="E159" s="14" t="s">
        <v>16</v>
      </c>
      <c r="F159" s="15">
        <v>45722</v>
      </c>
      <c r="G159" s="16">
        <v>1.8</v>
      </c>
      <c r="H159" s="15"/>
      <c r="I159" s="16"/>
      <c r="J159" s="15"/>
      <c r="K159" s="16"/>
      <c r="L159" s="15"/>
      <c r="M159" s="63"/>
      <c r="N159" s="17"/>
      <c r="O159" s="16"/>
      <c r="P159" s="16"/>
      <c r="Q159" s="152">
        <f t="shared" si="20"/>
        <v>1.8</v>
      </c>
      <c r="R159" s="152">
        <f t="shared" si="21"/>
        <v>1.8</v>
      </c>
      <c r="S159" s="152">
        <f t="shared" si="22"/>
        <v>1.8</v>
      </c>
      <c r="T159" s="18">
        <f t="shared" si="23"/>
        <v>1.8</v>
      </c>
    </row>
    <row r="160" spans="2:20" x14ac:dyDescent="0.25">
      <c r="B160" s="117" t="s">
        <v>296</v>
      </c>
      <c r="C160" s="136" t="s">
        <v>297</v>
      </c>
      <c r="D160" s="14" t="s">
        <v>15</v>
      </c>
      <c r="E160" s="14" t="s">
        <v>16</v>
      </c>
      <c r="F160" s="15">
        <v>45769</v>
      </c>
      <c r="G160" s="16">
        <v>0.10199999999999999</v>
      </c>
      <c r="H160" s="15">
        <v>45863</v>
      </c>
      <c r="I160" s="16">
        <v>7.2999999999999995E-2</v>
      </c>
      <c r="J160" s="15"/>
      <c r="K160" s="16"/>
      <c r="L160" s="15"/>
      <c r="M160" s="63"/>
      <c r="N160" s="17"/>
      <c r="O160" s="16"/>
      <c r="P160" s="47"/>
      <c r="Q160" s="152">
        <f t="shared" si="20"/>
        <v>0</v>
      </c>
      <c r="R160" s="152">
        <f t="shared" si="21"/>
        <v>0.10199999999999999</v>
      </c>
      <c r="S160" s="152">
        <f t="shared" si="22"/>
        <v>0.17499999999999999</v>
      </c>
      <c r="T160" s="18">
        <f t="shared" si="23"/>
        <v>0.17499999999999999</v>
      </c>
    </row>
    <row r="161" spans="2:20" x14ac:dyDescent="0.25">
      <c r="B161" s="117" t="s">
        <v>302</v>
      </c>
      <c r="C161" s="136" t="s">
        <v>303</v>
      </c>
      <c r="D161" s="14" t="s">
        <v>15</v>
      </c>
      <c r="E161" s="14" t="s">
        <v>761</v>
      </c>
      <c r="F161" s="15">
        <v>45771</v>
      </c>
      <c r="G161" s="16">
        <v>15.36</v>
      </c>
      <c r="H161" s="15">
        <v>45890</v>
      </c>
      <c r="I161" s="16">
        <v>6.12</v>
      </c>
      <c r="J161" s="15"/>
      <c r="K161" s="16"/>
      <c r="L161" s="15"/>
      <c r="M161" s="63"/>
      <c r="N161" s="17"/>
      <c r="O161" s="16"/>
      <c r="P161" s="16"/>
      <c r="Q161" s="152">
        <f t="shared" si="20"/>
        <v>0</v>
      </c>
      <c r="R161" s="152">
        <f t="shared" si="21"/>
        <v>15.36</v>
      </c>
      <c r="S161" s="152">
        <f t="shared" si="22"/>
        <v>21.48</v>
      </c>
      <c r="T161" s="18">
        <f t="shared" si="23"/>
        <v>21.48</v>
      </c>
    </row>
    <row r="162" spans="2:20" x14ac:dyDescent="0.25">
      <c r="B162" s="117" t="s">
        <v>304</v>
      </c>
      <c r="C162" s="136" t="s">
        <v>305</v>
      </c>
      <c r="D162" s="14" t="s">
        <v>24</v>
      </c>
      <c r="E162" s="14" t="s">
        <v>16</v>
      </c>
      <c r="F162" s="15">
        <v>45806</v>
      </c>
      <c r="G162" s="16">
        <v>2.2000000000000002</v>
      </c>
      <c r="H162" s="15"/>
      <c r="I162" s="16"/>
      <c r="J162" s="15"/>
      <c r="K162" s="16"/>
      <c r="L162" s="15"/>
      <c r="M162" s="63"/>
      <c r="N162" s="17"/>
      <c r="O162" s="16"/>
      <c r="P162" s="16"/>
      <c r="Q162" s="152">
        <f t="shared" si="20"/>
        <v>0</v>
      </c>
      <c r="R162" s="152">
        <f t="shared" si="21"/>
        <v>2.2000000000000002</v>
      </c>
      <c r="S162" s="152">
        <f t="shared" si="22"/>
        <v>2.2000000000000002</v>
      </c>
      <c r="T162" s="18">
        <f t="shared" si="23"/>
        <v>2.2000000000000002</v>
      </c>
    </row>
    <row r="163" spans="2:20" x14ac:dyDescent="0.25">
      <c r="B163" s="117" t="s">
        <v>308</v>
      </c>
      <c r="C163" s="136" t="s">
        <v>309</v>
      </c>
      <c r="D163" s="14" t="s">
        <v>15</v>
      </c>
      <c r="E163" s="14" t="s">
        <v>761</v>
      </c>
      <c r="F163" s="15">
        <v>45757</v>
      </c>
      <c r="G163" s="16">
        <v>2.11</v>
      </c>
      <c r="H163" s="15">
        <v>45869</v>
      </c>
      <c r="I163" s="16">
        <v>1.22</v>
      </c>
      <c r="J163" s="15"/>
      <c r="K163" s="16"/>
      <c r="L163" s="15"/>
      <c r="M163" s="63"/>
      <c r="N163" s="17"/>
      <c r="O163" s="16"/>
      <c r="P163" s="16"/>
      <c r="Q163" s="152">
        <f t="shared" si="20"/>
        <v>0</v>
      </c>
      <c r="R163" s="152">
        <f t="shared" si="21"/>
        <v>2.11</v>
      </c>
      <c r="S163" s="152">
        <f t="shared" si="22"/>
        <v>3.33</v>
      </c>
      <c r="T163" s="18">
        <f t="shared" si="23"/>
        <v>3.33</v>
      </c>
    </row>
    <row r="164" spans="2:20" x14ac:dyDescent="0.25">
      <c r="B164" s="117" t="s">
        <v>877</v>
      </c>
      <c r="C164" s="136" t="s">
        <v>875</v>
      </c>
      <c r="D164" s="14" t="s">
        <v>15</v>
      </c>
      <c r="E164" s="14" t="s">
        <v>21</v>
      </c>
      <c r="F164" s="15">
        <v>45922</v>
      </c>
      <c r="G164" s="16">
        <v>1.26</v>
      </c>
      <c r="H164" s="15"/>
      <c r="I164" s="16"/>
      <c r="J164" s="15"/>
      <c r="K164" s="16"/>
      <c r="L164" s="15"/>
      <c r="M164" s="63"/>
      <c r="N164" s="17"/>
      <c r="O164" s="16"/>
      <c r="P164" s="16"/>
      <c r="Q164" s="152">
        <f t="shared" si="20"/>
        <v>0</v>
      </c>
      <c r="R164" s="152">
        <f t="shared" si="21"/>
        <v>0</v>
      </c>
      <c r="S164" s="152">
        <f t="shared" si="22"/>
        <v>0</v>
      </c>
      <c r="T164" s="18">
        <f t="shared" si="23"/>
        <v>1.26</v>
      </c>
    </row>
    <row r="165" spans="2:20" x14ac:dyDescent="0.25">
      <c r="B165" s="117" t="s">
        <v>876</v>
      </c>
      <c r="C165" s="136" t="s">
        <v>878</v>
      </c>
      <c r="D165" s="14" t="s">
        <v>15</v>
      </c>
      <c r="E165" s="14" t="s">
        <v>21</v>
      </c>
      <c r="F165" s="15">
        <v>45790</v>
      </c>
      <c r="G165" s="16">
        <v>4</v>
      </c>
      <c r="H165" s="15"/>
      <c r="I165" s="16"/>
      <c r="J165" s="15"/>
      <c r="K165" s="16"/>
      <c r="L165" s="15"/>
      <c r="M165" s="63"/>
      <c r="N165" s="17"/>
      <c r="O165" s="16"/>
      <c r="P165" s="16"/>
      <c r="Q165" s="152">
        <f t="shared" si="20"/>
        <v>0</v>
      </c>
      <c r="R165" s="152">
        <f t="shared" si="21"/>
        <v>4</v>
      </c>
      <c r="S165" s="152">
        <f t="shared" si="22"/>
        <v>4</v>
      </c>
      <c r="T165" s="18">
        <f t="shared" si="23"/>
        <v>4</v>
      </c>
    </row>
    <row r="166" spans="2:20" x14ac:dyDescent="0.25">
      <c r="B166" s="117" t="s">
        <v>310</v>
      </c>
      <c r="C166" s="136" t="s">
        <v>311</v>
      </c>
      <c r="D166" s="14" t="s">
        <v>24</v>
      </c>
      <c r="E166" s="14" t="s">
        <v>16</v>
      </c>
      <c r="F166" s="15">
        <v>45782</v>
      </c>
      <c r="G166" s="16">
        <v>7</v>
      </c>
      <c r="H166" s="15"/>
      <c r="I166" s="16"/>
      <c r="J166" s="15"/>
      <c r="K166" s="16"/>
      <c r="L166" s="15"/>
      <c r="M166" s="63"/>
      <c r="N166" s="17"/>
      <c r="O166" s="16"/>
      <c r="P166" s="16"/>
      <c r="Q166" s="152">
        <f t="shared" si="20"/>
        <v>0</v>
      </c>
      <c r="R166" s="152">
        <f t="shared" si="21"/>
        <v>7</v>
      </c>
      <c r="S166" s="152">
        <f t="shared" si="22"/>
        <v>7</v>
      </c>
      <c r="T166" s="18">
        <f t="shared" si="23"/>
        <v>7</v>
      </c>
    </row>
    <row r="167" spans="2:20" x14ac:dyDescent="0.25">
      <c r="B167" s="117" t="s">
        <v>312</v>
      </c>
      <c r="C167" s="136" t="s">
        <v>313</v>
      </c>
      <c r="D167" s="14" t="s">
        <v>24</v>
      </c>
      <c r="E167" s="14" t="s">
        <v>16</v>
      </c>
      <c r="F167" s="15">
        <v>45771</v>
      </c>
      <c r="G167" s="16">
        <v>7.5</v>
      </c>
      <c r="H167" s="15">
        <v>45993</v>
      </c>
      <c r="I167" s="16">
        <v>5.5</v>
      </c>
      <c r="J167" s="15"/>
      <c r="K167" s="16"/>
      <c r="L167" s="15"/>
      <c r="M167" s="63"/>
      <c r="N167" s="17"/>
      <c r="O167" s="16"/>
      <c r="P167" s="16"/>
      <c r="Q167" s="152">
        <f t="shared" si="20"/>
        <v>0</v>
      </c>
      <c r="R167" s="152">
        <f t="shared" si="21"/>
        <v>7.5</v>
      </c>
      <c r="S167" s="152">
        <f t="shared" si="22"/>
        <v>7.5</v>
      </c>
      <c r="T167" s="18">
        <f t="shared" si="23"/>
        <v>13</v>
      </c>
    </row>
    <row r="168" spans="2:20" x14ac:dyDescent="0.25">
      <c r="B168" s="117" t="s">
        <v>314</v>
      </c>
      <c r="C168" s="136" t="s">
        <v>315</v>
      </c>
      <c r="D168" s="14" t="s">
        <v>15</v>
      </c>
      <c r="E168" s="14" t="s">
        <v>16</v>
      </c>
      <c r="F168" s="15">
        <v>45722</v>
      </c>
      <c r="G168" s="16">
        <v>1.5E-3</v>
      </c>
      <c r="H168" s="15">
        <v>45804</v>
      </c>
      <c r="I168" s="16">
        <v>9.5200000000000007E-2</v>
      </c>
      <c r="J168" s="15">
        <v>45987</v>
      </c>
      <c r="K168" s="16">
        <v>7.0400000000000004E-2</v>
      </c>
      <c r="L168" s="15"/>
      <c r="M168" s="63"/>
      <c r="N168" s="17"/>
      <c r="O168" s="16"/>
      <c r="P168" s="16"/>
      <c r="Q168" s="152">
        <f t="shared" si="20"/>
        <v>1.5E-3</v>
      </c>
      <c r="R168" s="152">
        <f t="shared" si="21"/>
        <v>9.6700000000000008E-2</v>
      </c>
      <c r="S168" s="152">
        <f t="shared" si="22"/>
        <v>9.6700000000000008E-2</v>
      </c>
      <c r="T168" s="18">
        <f t="shared" si="23"/>
        <v>0.16710000000000003</v>
      </c>
    </row>
    <row r="169" spans="2:20" x14ac:dyDescent="0.25">
      <c r="B169" s="117" t="s">
        <v>823</v>
      </c>
      <c r="C169" s="136" t="s">
        <v>819</v>
      </c>
      <c r="D169" s="14" t="s">
        <v>15</v>
      </c>
      <c r="E169" s="14" t="s">
        <v>16</v>
      </c>
      <c r="F169" s="15">
        <v>45785</v>
      </c>
      <c r="G169" s="16">
        <v>4.3</v>
      </c>
      <c r="H169" s="15"/>
      <c r="I169" s="16"/>
      <c r="J169" s="15"/>
      <c r="K169" s="16"/>
      <c r="L169" s="15"/>
      <c r="M169" s="63"/>
      <c r="N169" s="17"/>
      <c r="O169" s="16"/>
      <c r="P169" s="16"/>
      <c r="Q169" s="152">
        <f t="shared" si="20"/>
        <v>0</v>
      </c>
      <c r="R169" s="152">
        <f t="shared" si="21"/>
        <v>4.3</v>
      </c>
      <c r="S169" s="152">
        <f t="shared" si="22"/>
        <v>4.3</v>
      </c>
      <c r="T169" s="18">
        <f t="shared" si="23"/>
        <v>4.3</v>
      </c>
    </row>
    <row r="170" spans="2:20" x14ac:dyDescent="0.25">
      <c r="B170" s="117" t="s">
        <v>322</v>
      </c>
      <c r="C170" s="136" t="s">
        <v>323</v>
      </c>
      <c r="D170" s="14" t="s">
        <v>15</v>
      </c>
      <c r="E170" s="14" t="s">
        <v>16</v>
      </c>
      <c r="F170" s="15">
        <v>45775</v>
      </c>
      <c r="G170" s="16">
        <v>2.2000000000000002</v>
      </c>
      <c r="H170" s="15"/>
      <c r="I170" s="16"/>
      <c r="J170" s="15"/>
      <c r="K170" s="16"/>
      <c r="L170" s="15"/>
      <c r="M170" s="63"/>
      <c r="N170" s="17"/>
      <c r="O170" s="16"/>
      <c r="P170" s="16"/>
      <c r="Q170" s="152">
        <f t="shared" si="20"/>
        <v>0</v>
      </c>
      <c r="R170" s="152">
        <f t="shared" si="21"/>
        <v>2.2000000000000002</v>
      </c>
      <c r="S170" s="152">
        <f t="shared" si="22"/>
        <v>2.2000000000000002</v>
      </c>
      <c r="T170" s="18">
        <f t="shared" si="23"/>
        <v>2.2000000000000002</v>
      </c>
    </row>
    <row r="171" spans="2:20" x14ac:dyDescent="0.25">
      <c r="B171" s="117" t="s">
        <v>934</v>
      </c>
      <c r="C171" s="136" t="s">
        <v>917</v>
      </c>
      <c r="D171" s="39" t="s">
        <v>755</v>
      </c>
      <c r="E171" s="39" t="s">
        <v>16</v>
      </c>
      <c r="F171" s="15">
        <v>45772</v>
      </c>
      <c r="G171" s="16">
        <v>0.19</v>
      </c>
      <c r="H171" s="15">
        <v>45953</v>
      </c>
      <c r="I171" s="16">
        <v>0.19</v>
      </c>
      <c r="J171" s="15"/>
      <c r="K171" s="16"/>
      <c r="L171" s="15"/>
      <c r="M171" s="63"/>
      <c r="N171" s="17"/>
      <c r="O171" s="16"/>
      <c r="P171" s="16"/>
      <c r="Q171" s="152">
        <f t="shared" si="20"/>
        <v>0</v>
      </c>
      <c r="R171" s="152">
        <f t="shared" si="21"/>
        <v>0.19</v>
      </c>
      <c r="S171" s="152">
        <f t="shared" si="22"/>
        <v>0.19</v>
      </c>
      <c r="T171" s="18">
        <f t="shared" si="23"/>
        <v>0.38</v>
      </c>
    </row>
    <row r="172" spans="2:20" x14ac:dyDescent="0.25">
      <c r="B172" s="117" t="s">
        <v>329</v>
      </c>
      <c r="C172" s="136" t="s">
        <v>330</v>
      </c>
      <c r="D172" s="14" t="s">
        <v>24</v>
      </c>
      <c r="E172" s="14" t="s">
        <v>16</v>
      </c>
      <c r="F172" s="15">
        <v>45798</v>
      </c>
      <c r="G172" s="16">
        <v>1.38</v>
      </c>
      <c r="H172" s="15"/>
      <c r="I172" s="16"/>
      <c r="J172" s="15"/>
      <c r="K172" s="16"/>
      <c r="L172" s="15"/>
      <c r="M172" s="63"/>
      <c r="N172" s="17"/>
      <c r="O172" s="16"/>
      <c r="P172" s="16"/>
      <c r="Q172" s="152">
        <f t="shared" si="20"/>
        <v>0</v>
      </c>
      <c r="R172" s="152">
        <f t="shared" si="21"/>
        <v>1.38</v>
      </c>
      <c r="S172" s="152">
        <f t="shared" si="22"/>
        <v>1.38</v>
      </c>
      <c r="T172" s="18">
        <f t="shared" si="23"/>
        <v>1.38</v>
      </c>
    </row>
    <row r="173" spans="2:20" x14ac:dyDescent="0.25">
      <c r="B173" s="117" t="s">
        <v>779</v>
      </c>
      <c r="C173" s="136" t="s">
        <v>780</v>
      </c>
      <c r="D173" s="14" t="s">
        <v>755</v>
      </c>
      <c r="E173" s="14" t="s">
        <v>475</v>
      </c>
      <c r="F173" s="15">
        <v>45709</v>
      </c>
      <c r="G173" s="16">
        <v>2</v>
      </c>
      <c r="H173" s="15">
        <v>45800</v>
      </c>
      <c r="I173" s="16">
        <v>1.7</v>
      </c>
      <c r="J173" s="15">
        <v>45898</v>
      </c>
      <c r="K173" s="16">
        <v>1.45</v>
      </c>
      <c r="L173" s="15">
        <v>45975</v>
      </c>
      <c r="M173" s="63">
        <v>1.5</v>
      </c>
      <c r="N173" s="17"/>
      <c r="O173" s="16"/>
      <c r="P173" s="16"/>
      <c r="Q173" s="152">
        <f t="shared" si="20"/>
        <v>2</v>
      </c>
      <c r="R173" s="152">
        <f t="shared" si="21"/>
        <v>3.7</v>
      </c>
      <c r="S173" s="152">
        <f t="shared" si="22"/>
        <v>5.15</v>
      </c>
      <c r="T173" s="18">
        <f t="shared" si="23"/>
        <v>6.65</v>
      </c>
    </row>
    <row r="174" spans="2:20" x14ac:dyDescent="0.25">
      <c r="B174" s="117" t="s">
        <v>885</v>
      </c>
      <c r="C174" s="136" t="s">
        <v>334</v>
      </c>
      <c r="D174" s="14" t="s">
        <v>15</v>
      </c>
      <c r="E174" s="14" t="s">
        <v>16</v>
      </c>
      <c r="F174" s="15">
        <v>45779</v>
      </c>
      <c r="G174" s="16">
        <v>20</v>
      </c>
      <c r="H174" s="15"/>
      <c r="I174" s="16"/>
      <c r="J174" s="15"/>
      <c r="K174" s="16"/>
      <c r="L174" s="15"/>
      <c r="M174" s="63"/>
      <c r="N174" s="17"/>
      <c r="O174" s="16"/>
      <c r="P174" s="16"/>
      <c r="Q174" s="152">
        <f t="shared" si="20"/>
        <v>0</v>
      </c>
      <c r="R174" s="152">
        <f t="shared" si="21"/>
        <v>20</v>
      </c>
      <c r="S174" s="152">
        <f t="shared" si="22"/>
        <v>20</v>
      </c>
      <c r="T174" s="18">
        <f t="shared" si="23"/>
        <v>20</v>
      </c>
    </row>
    <row r="175" spans="2:20" x14ac:dyDescent="0.25">
      <c r="B175" s="117" t="s">
        <v>335</v>
      </c>
      <c r="C175" s="136" t="s">
        <v>336</v>
      </c>
      <c r="D175" s="14" t="s">
        <v>15</v>
      </c>
      <c r="E175" s="14" t="s">
        <v>761</v>
      </c>
      <c r="F175" s="15">
        <v>45806</v>
      </c>
      <c r="G175" s="16">
        <v>30.88</v>
      </c>
      <c r="H175" s="15">
        <v>45981</v>
      </c>
      <c r="I175" s="16">
        <v>16.350000000000001</v>
      </c>
      <c r="J175" s="15"/>
      <c r="K175" s="16"/>
      <c r="L175" s="15"/>
      <c r="M175" s="63"/>
      <c r="N175" s="17"/>
      <c r="O175" s="16"/>
      <c r="P175" s="16"/>
      <c r="Q175" s="152">
        <f t="shared" si="20"/>
        <v>0</v>
      </c>
      <c r="R175" s="152">
        <f t="shared" si="21"/>
        <v>30.88</v>
      </c>
      <c r="S175" s="152">
        <f t="shared" si="22"/>
        <v>30.88</v>
      </c>
      <c r="T175" s="18">
        <f t="shared" si="23"/>
        <v>47.230000000000004</v>
      </c>
    </row>
    <row r="176" spans="2:20" x14ac:dyDescent="0.25">
      <c r="B176" s="117" t="s">
        <v>623</v>
      </c>
      <c r="C176" s="136" t="s">
        <v>239</v>
      </c>
      <c r="D176" s="14" t="s">
        <v>15</v>
      </c>
      <c r="E176" s="14" t="s">
        <v>16</v>
      </c>
      <c r="F176" s="15">
        <v>45754</v>
      </c>
      <c r="G176" s="16">
        <v>0.6</v>
      </c>
      <c r="H176" s="15">
        <v>45866</v>
      </c>
      <c r="I176" s="16">
        <v>0.6</v>
      </c>
      <c r="J176" s="15">
        <v>45964</v>
      </c>
      <c r="K176" s="16">
        <v>0.6</v>
      </c>
      <c r="L176" s="15"/>
      <c r="M176" s="63"/>
      <c r="N176" s="17"/>
      <c r="O176" s="16"/>
      <c r="P176" s="16"/>
      <c r="Q176" s="152">
        <f t="shared" si="20"/>
        <v>0</v>
      </c>
      <c r="R176" s="152">
        <f t="shared" si="21"/>
        <v>0.6</v>
      </c>
      <c r="S176" s="152">
        <f t="shared" si="22"/>
        <v>1.2</v>
      </c>
      <c r="T176" s="18">
        <f t="shared" si="23"/>
        <v>1.7999999999999998</v>
      </c>
    </row>
    <row r="177" spans="2:20" x14ac:dyDescent="0.25">
      <c r="B177" s="117" t="s">
        <v>339</v>
      </c>
      <c r="C177" s="136" t="s">
        <v>340</v>
      </c>
      <c r="D177" s="14" t="s">
        <v>15</v>
      </c>
      <c r="E177" s="14" t="s">
        <v>16</v>
      </c>
      <c r="F177" s="15">
        <v>45742</v>
      </c>
      <c r="G177" s="16">
        <v>0.2</v>
      </c>
      <c r="H177" s="15"/>
      <c r="I177" s="16"/>
      <c r="J177" s="15"/>
      <c r="K177" s="16"/>
      <c r="L177" s="15"/>
      <c r="M177" s="63"/>
      <c r="N177" s="17"/>
      <c r="O177" s="16"/>
      <c r="P177" s="41"/>
      <c r="Q177" s="152">
        <f t="shared" si="20"/>
        <v>0</v>
      </c>
      <c r="R177" s="152">
        <f t="shared" si="21"/>
        <v>0.2</v>
      </c>
      <c r="S177" s="152">
        <f t="shared" si="22"/>
        <v>0.2</v>
      </c>
      <c r="T177" s="18">
        <f t="shared" si="23"/>
        <v>0.2</v>
      </c>
    </row>
    <row r="178" spans="2:20" x14ac:dyDescent="0.25">
      <c r="B178" s="117" t="s">
        <v>341</v>
      </c>
      <c r="C178" s="136" t="s">
        <v>342</v>
      </c>
      <c r="D178" s="14" t="s">
        <v>15</v>
      </c>
      <c r="E178" s="14" t="s">
        <v>21</v>
      </c>
      <c r="F178" s="15">
        <v>45769</v>
      </c>
      <c r="G178" s="16">
        <v>3.05</v>
      </c>
      <c r="H178" s="15"/>
      <c r="I178" s="16"/>
      <c r="J178" s="15"/>
      <c r="K178" s="16"/>
      <c r="L178" s="15"/>
      <c r="M178" s="63"/>
      <c r="N178" s="17"/>
      <c r="O178" s="16"/>
      <c r="P178" s="16"/>
      <c r="Q178" s="152">
        <f t="shared" si="20"/>
        <v>0</v>
      </c>
      <c r="R178" s="152">
        <f t="shared" si="21"/>
        <v>3.05</v>
      </c>
      <c r="S178" s="152">
        <f t="shared" si="22"/>
        <v>3.05</v>
      </c>
      <c r="T178" s="18">
        <f t="shared" si="23"/>
        <v>3.05</v>
      </c>
    </row>
    <row r="179" spans="2:20" x14ac:dyDescent="0.25">
      <c r="B179" s="117" t="s">
        <v>773</v>
      </c>
      <c r="C179" s="136" t="s">
        <v>774</v>
      </c>
      <c r="D179" s="45" t="s">
        <v>24</v>
      </c>
      <c r="E179" s="45" t="s">
        <v>16</v>
      </c>
      <c r="F179" s="15">
        <v>45796</v>
      </c>
      <c r="G179" s="16">
        <v>2.6</v>
      </c>
      <c r="H179" s="15"/>
      <c r="I179" s="16"/>
      <c r="J179" s="15"/>
      <c r="K179" s="16"/>
      <c r="L179" s="15"/>
      <c r="M179" s="63"/>
      <c r="N179" s="17"/>
      <c r="O179" s="16"/>
      <c r="P179" s="16"/>
      <c r="Q179" s="152">
        <f t="shared" si="20"/>
        <v>0</v>
      </c>
      <c r="R179" s="152">
        <f t="shared" si="21"/>
        <v>2.6</v>
      </c>
      <c r="S179" s="152">
        <f t="shared" si="22"/>
        <v>2.6</v>
      </c>
      <c r="T179" s="18">
        <f t="shared" si="23"/>
        <v>2.6</v>
      </c>
    </row>
    <row r="180" spans="2:20" x14ac:dyDescent="0.25">
      <c r="B180" s="117" t="s">
        <v>343</v>
      </c>
      <c r="C180" s="136" t="s">
        <v>344</v>
      </c>
      <c r="D180" s="14" t="s">
        <v>15</v>
      </c>
      <c r="E180" s="14" t="s">
        <v>16</v>
      </c>
      <c r="F180" s="15">
        <v>45796</v>
      </c>
      <c r="G180" s="16">
        <v>2.16</v>
      </c>
      <c r="H180" s="15">
        <v>45881</v>
      </c>
      <c r="I180" s="16">
        <v>1.38</v>
      </c>
      <c r="J180" s="15"/>
      <c r="K180" s="16"/>
      <c r="L180" s="15"/>
      <c r="M180" s="63"/>
      <c r="N180" s="17"/>
      <c r="O180" s="16"/>
      <c r="P180" s="16"/>
      <c r="Q180" s="152">
        <f t="shared" si="20"/>
        <v>0</v>
      </c>
      <c r="R180" s="152">
        <f t="shared" si="21"/>
        <v>2.16</v>
      </c>
      <c r="S180" s="152">
        <f t="shared" si="22"/>
        <v>3.54</v>
      </c>
      <c r="T180" s="18">
        <f t="shared" si="23"/>
        <v>3.54</v>
      </c>
    </row>
    <row r="181" spans="2:20" x14ac:dyDescent="0.25">
      <c r="B181" s="117" t="s">
        <v>345</v>
      </c>
      <c r="C181" s="136" t="s">
        <v>346</v>
      </c>
      <c r="D181" s="14" t="s">
        <v>15</v>
      </c>
      <c r="E181" s="14" t="s">
        <v>16</v>
      </c>
      <c r="F181" s="15">
        <v>45691</v>
      </c>
      <c r="G181" s="16">
        <v>0.03</v>
      </c>
      <c r="H181" s="15">
        <v>45779</v>
      </c>
      <c r="I181" s="16">
        <v>0.04</v>
      </c>
      <c r="J181" s="15">
        <v>45866</v>
      </c>
      <c r="K181" s="16">
        <v>0.04</v>
      </c>
      <c r="L181" s="15">
        <v>45957</v>
      </c>
      <c r="M181" s="63">
        <v>0.03</v>
      </c>
      <c r="N181" s="17"/>
      <c r="O181" s="16"/>
      <c r="P181" s="47"/>
      <c r="Q181" s="152">
        <f t="shared" si="20"/>
        <v>0.03</v>
      </c>
      <c r="R181" s="152">
        <f t="shared" si="21"/>
        <v>7.0000000000000007E-2</v>
      </c>
      <c r="S181" s="152">
        <f t="shared" si="22"/>
        <v>0.11000000000000001</v>
      </c>
      <c r="T181" s="18">
        <f t="shared" si="23"/>
        <v>0.14000000000000001</v>
      </c>
    </row>
    <row r="182" spans="2:20" x14ac:dyDescent="0.25">
      <c r="B182" s="117" t="s">
        <v>756</v>
      </c>
      <c r="C182" s="136" t="s">
        <v>757</v>
      </c>
      <c r="D182" s="14" t="s">
        <v>15</v>
      </c>
      <c r="E182" s="14" t="s">
        <v>16</v>
      </c>
      <c r="F182" s="15">
        <v>45785</v>
      </c>
      <c r="G182" s="16">
        <v>0.25</v>
      </c>
      <c r="H182" s="15"/>
      <c r="I182" s="16"/>
      <c r="J182" s="15"/>
      <c r="K182" s="16"/>
      <c r="L182" s="15"/>
      <c r="M182" s="63"/>
      <c r="N182" s="17"/>
      <c r="O182" s="16"/>
      <c r="P182" s="47"/>
      <c r="Q182" s="152">
        <f t="shared" si="20"/>
        <v>0</v>
      </c>
      <c r="R182" s="152">
        <f t="shared" si="21"/>
        <v>0.25</v>
      </c>
      <c r="S182" s="152">
        <f t="shared" si="22"/>
        <v>0.25</v>
      </c>
      <c r="T182" s="18">
        <f t="shared" si="23"/>
        <v>0.25</v>
      </c>
    </row>
    <row r="183" spans="2:20" x14ac:dyDescent="0.25">
      <c r="B183" s="117" t="s">
        <v>347</v>
      </c>
      <c r="C183" s="136" t="s">
        <v>348</v>
      </c>
      <c r="D183" s="14" t="s">
        <v>15</v>
      </c>
      <c r="E183" s="14" t="s">
        <v>16</v>
      </c>
      <c r="F183" s="15">
        <v>45737</v>
      </c>
      <c r="G183" s="16">
        <v>0.94</v>
      </c>
      <c r="H183" s="15"/>
      <c r="I183" s="16"/>
      <c r="J183" s="15"/>
      <c r="K183" s="16"/>
      <c r="L183" s="15"/>
      <c r="M183" s="63"/>
      <c r="N183" s="17"/>
      <c r="O183" s="16"/>
      <c r="P183" s="47"/>
      <c r="Q183" s="152">
        <f t="shared" si="20"/>
        <v>0.94</v>
      </c>
      <c r="R183" s="152">
        <f t="shared" si="21"/>
        <v>0.94</v>
      </c>
      <c r="S183" s="152">
        <f t="shared" si="22"/>
        <v>0.94</v>
      </c>
      <c r="T183" s="18">
        <f t="shared" si="23"/>
        <v>0.94</v>
      </c>
    </row>
    <row r="184" spans="2:20" x14ac:dyDescent="0.25">
      <c r="B184" s="117" t="s">
        <v>753</v>
      </c>
      <c r="C184" s="136" t="s">
        <v>754</v>
      </c>
      <c r="D184" s="14" t="s">
        <v>755</v>
      </c>
      <c r="E184" s="14" t="s">
        <v>475</v>
      </c>
      <c r="F184" s="15">
        <v>45789</v>
      </c>
      <c r="G184" s="16">
        <v>2.25</v>
      </c>
      <c r="H184" s="15"/>
      <c r="I184" s="16"/>
      <c r="J184" s="15"/>
      <c r="K184" s="16"/>
      <c r="L184" s="15"/>
      <c r="M184" s="63"/>
      <c r="N184" s="17"/>
      <c r="O184" s="16"/>
      <c r="P184" s="47"/>
      <c r="Q184" s="152">
        <f t="shared" si="20"/>
        <v>0</v>
      </c>
      <c r="R184" s="152">
        <f t="shared" si="21"/>
        <v>2.25</v>
      </c>
      <c r="S184" s="152">
        <f t="shared" si="22"/>
        <v>2.25</v>
      </c>
      <c r="T184" s="18">
        <f t="shared" si="23"/>
        <v>2.25</v>
      </c>
    </row>
    <row r="185" spans="2:20" x14ac:dyDescent="0.25">
      <c r="B185" s="117" t="s">
        <v>696</v>
      </c>
      <c r="C185" s="136" t="s">
        <v>350</v>
      </c>
      <c r="D185" s="14" t="s">
        <v>15</v>
      </c>
      <c r="E185" s="14" t="s">
        <v>21</v>
      </c>
      <c r="F185" s="15">
        <v>45727</v>
      </c>
      <c r="G185" s="16">
        <v>3.5</v>
      </c>
      <c r="H185" s="15"/>
      <c r="I185" s="16"/>
      <c r="J185" s="15"/>
      <c r="K185" s="16"/>
      <c r="L185" s="15"/>
      <c r="M185" s="63"/>
      <c r="N185" s="17"/>
      <c r="O185" s="16"/>
      <c r="P185" s="16"/>
      <c r="Q185" s="152">
        <f t="shared" si="20"/>
        <v>3.5</v>
      </c>
      <c r="R185" s="152">
        <f t="shared" si="21"/>
        <v>3.5</v>
      </c>
      <c r="S185" s="152">
        <f t="shared" si="22"/>
        <v>3.5</v>
      </c>
      <c r="T185" s="18">
        <f t="shared" si="23"/>
        <v>3.5</v>
      </c>
    </row>
    <row r="186" spans="2:20" x14ac:dyDescent="0.25">
      <c r="B186" s="117" t="s">
        <v>734</v>
      </c>
      <c r="C186" s="136" t="s">
        <v>735</v>
      </c>
      <c r="D186" s="14" t="s">
        <v>15</v>
      </c>
      <c r="E186" s="14" t="s">
        <v>16</v>
      </c>
      <c r="F186" s="175">
        <v>45812</v>
      </c>
      <c r="G186" s="154">
        <f>3.05*0.9621802</f>
        <v>2.9346496100000001</v>
      </c>
      <c r="H186" s="15"/>
      <c r="I186" s="16"/>
      <c r="J186" s="15"/>
      <c r="K186" s="16"/>
      <c r="L186" s="15"/>
      <c r="M186" s="63"/>
      <c r="N186" s="17"/>
      <c r="O186" s="16"/>
      <c r="P186" s="16"/>
      <c r="Q186" s="152">
        <f t="shared" si="20"/>
        <v>0</v>
      </c>
      <c r="R186" s="152">
        <f t="shared" si="21"/>
        <v>2.9346496100000001</v>
      </c>
      <c r="S186" s="152">
        <f t="shared" si="22"/>
        <v>2.9346496100000001</v>
      </c>
      <c r="T186" s="18">
        <f t="shared" si="23"/>
        <v>2.9346496100000001</v>
      </c>
    </row>
    <row r="187" spans="2:20" x14ac:dyDescent="0.25">
      <c r="B187" s="117" t="s">
        <v>353</v>
      </c>
      <c r="C187" s="136" t="s">
        <v>354</v>
      </c>
      <c r="D187" s="14" t="s">
        <v>24</v>
      </c>
      <c r="E187" s="14" t="s">
        <v>16</v>
      </c>
      <c r="F187" s="15">
        <v>45811</v>
      </c>
      <c r="G187" s="16">
        <v>0.45</v>
      </c>
      <c r="H187" s="15">
        <v>45993</v>
      </c>
      <c r="I187" s="16">
        <v>0.3</v>
      </c>
      <c r="J187" s="15"/>
      <c r="K187" s="16"/>
      <c r="L187" s="15"/>
      <c r="M187" s="63"/>
      <c r="N187" s="17"/>
      <c r="O187" s="16"/>
      <c r="P187" s="16"/>
      <c r="Q187" s="152">
        <f t="shared" si="20"/>
        <v>0</v>
      </c>
      <c r="R187" s="152">
        <f t="shared" si="21"/>
        <v>0.45</v>
      </c>
      <c r="S187" s="152">
        <f t="shared" si="22"/>
        <v>0.45</v>
      </c>
      <c r="T187" s="18">
        <f t="shared" si="23"/>
        <v>0.75</v>
      </c>
    </row>
    <row r="188" spans="2:20" x14ac:dyDescent="0.25">
      <c r="B188" s="117" t="s">
        <v>918</v>
      </c>
      <c r="C188" s="136" t="s">
        <v>352</v>
      </c>
      <c r="D188" s="14" t="s">
        <v>755</v>
      </c>
      <c r="E188" s="14" t="s">
        <v>475</v>
      </c>
      <c r="F188" s="175">
        <v>45772</v>
      </c>
      <c r="G188" s="154">
        <f>4*0.9488491</f>
        <v>3.7953964</v>
      </c>
      <c r="H188" s="15"/>
      <c r="I188" s="16"/>
      <c r="J188" s="15"/>
      <c r="K188" s="16"/>
      <c r="L188" s="15"/>
      <c r="M188" s="63"/>
      <c r="N188" s="17"/>
      <c r="O188" s="16"/>
      <c r="P188" s="16"/>
      <c r="Q188" s="152">
        <f t="shared" si="20"/>
        <v>0</v>
      </c>
      <c r="R188" s="152">
        <f t="shared" si="21"/>
        <v>3.7953964</v>
      </c>
      <c r="S188" s="152">
        <f t="shared" si="22"/>
        <v>3.7953964</v>
      </c>
      <c r="T188" s="18">
        <f t="shared" si="23"/>
        <v>3.7953964</v>
      </c>
    </row>
    <row r="189" spans="2:20" x14ac:dyDescent="0.25">
      <c r="B189" s="117" t="s">
        <v>881</v>
      </c>
      <c r="C189" s="136" t="s">
        <v>882</v>
      </c>
      <c r="D189" s="14" t="s">
        <v>15</v>
      </c>
      <c r="E189" s="14" t="s">
        <v>21</v>
      </c>
      <c r="F189" s="15">
        <v>45800</v>
      </c>
      <c r="G189" s="16">
        <v>42</v>
      </c>
      <c r="H189" s="15"/>
      <c r="I189" s="16"/>
      <c r="J189" s="15"/>
      <c r="K189" s="16"/>
      <c r="L189" s="15"/>
      <c r="M189" s="63"/>
      <c r="N189" s="17"/>
      <c r="O189" s="16"/>
      <c r="P189" s="16"/>
      <c r="Q189" s="152">
        <f t="shared" si="20"/>
        <v>0</v>
      </c>
      <c r="R189" s="152">
        <f t="shared" si="21"/>
        <v>42</v>
      </c>
      <c r="S189" s="152">
        <f t="shared" si="22"/>
        <v>42</v>
      </c>
      <c r="T189" s="18">
        <f t="shared" si="23"/>
        <v>42</v>
      </c>
    </row>
    <row r="190" spans="2:20" x14ac:dyDescent="0.25">
      <c r="B190" s="117" t="s">
        <v>357</v>
      </c>
      <c r="C190" s="136" t="s">
        <v>358</v>
      </c>
      <c r="D190" s="14" t="s">
        <v>15</v>
      </c>
      <c r="E190" s="14" t="s">
        <v>761</v>
      </c>
      <c r="F190" s="15">
        <v>45736</v>
      </c>
      <c r="G190" s="16">
        <v>16.600000000000001</v>
      </c>
      <c r="H190" s="15">
        <v>45883</v>
      </c>
      <c r="I190" s="16">
        <v>7.8</v>
      </c>
      <c r="J190" s="15"/>
      <c r="K190" s="16"/>
      <c r="L190" s="15"/>
      <c r="M190" s="63"/>
      <c r="N190" s="17"/>
      <c r="O190" s="16"/>
      <c r="P190" s="16"/>
      <c r="Q190" s="152">
        <f t="shared" si="20"/>
        <v>16.600000000000001</v>
      </c>
      <c r="R190" s="152">
        <f t="shared" si="21"/>
        <v>16.600000000000001</v>
      </c>
      <c r="S190" s="152">
        <f t="shared" si="22"/>
        <v>24.400000000000002</v>
      </c>
      <c r="T190" s="18">
        <f t="shared" si="23"/>
        <v>24.400000000000002</v>
      </c>
    </row>
    <row r="191" spans="2:20" x14ac:dyDescent="0.25">
      <c r="B191" s="117" t="s">
        <v>359</v>
      </c>
      <c r="C191" s="136" t="s">
        <v>360</v>
      </c>
      <c r="D191" s="14" t="s">
        <v>24</v>
      </c>
      <c r="E191" s="14" t="s">
        <v>16</v>
      </c>
      <c r="F191" s="15">
        <v>45861</v>
      </c>
      <c r="G191" s="16">
        <v>2.35</v>
      </c>
      <c r="H191" s="15">
        <v>45985</v>
      </c>
      <c r="I191" s="16">
        <v>2.35</v>
      </c>
      <c r="J191" s="15"/>
      <c r="K191" s="16"/>
      <c r="L191" s="15"/>
      <c r="M191" s="63"/>
      <c r="N191" s="17"/>
      <c r="O191" s="16"/>
      <c r="P191" s="16"/>
      <c r="Q191" s="152">
        <f t="shared" si="20"/>
        <v>0</v>
      </c>
      <c r="R191" s="152">
        <f t="shared" si="21"/>
        <v>0</v>
      </c>
      <c r="S191" s="152">
        <f t="shared" si="22"/>
        <v>2.35</v>
      </c>
      <c r="T191" s="18">
        <f t="shared" si="23"/>
        <v>4.7</v>
      </c>
    </row>
    <row r="192" spans="2:20" x14ac:dyDescent="0.25">
      <c r="B192" s="117" t="s">
        <v>366</v>
      </c>
      <c r="C192" s="136" t="s">
        <v>367</v>
      </c>
      <c r="D192" s="14" t="s">
        <v>15</v>
      </c>
      <c r="E192" s="14" t="s">
        <v>16</v>
      </c>
      <c r="F192" s="15">
        <v>45789</v>
      </c>
      <c r="G192" s="16">
        <v>0.85</v>
      </c>
      <c r="H192" s="15"/>
      <c r="I192" s="16"/>
      <c r="J192" s="15"/>
      <c r="K192" s="16"/>
      <c r="L192" s="15"/>
      <c r="M192" s="63"/>
      <c r="N192" s="17"/>
      <c r="O192" s="16"/>
      <c r="P192" s="16"/>
      <c r="Q192" s="152">
        <f t="shared" si="20"/>
        <v>0</v>
      </c>
      <c r="R192" s="152">
        <f t="shared" si="21"/>
        <v>0.85</v>
      </c>
      <c r="S192" s="152">
        <f t="shared" si="22"/>
        <v>0.85</v>
      </c>
      <c r="T192" s="18">
        <f t="shared" si="23"/>
        <v>0.85</v>
      </c>
    </row>
    <row r="193" spans="2:20" x14ac:dyDescent="0.25">
      <c r="B193" s="117" t="s">
        <v>951</v>
      </c>
      <c r="C193" s="136" t="s">
        <v>952</v>
      </c>
      <c r="D193" s="14" t="s">
        <v>941</v>
      </c>
      <c r="E193" s="14" t="s">
        <v>16</v>
      </c>
      <c r="F193" s="15">
        <v>45831</v>
      </c>
      <c r="G193" s="16">
        <v>0.75</v>
      </c>
      <c r="H193" s="15">
        <v>45985</v>
      </c>
      <c r="I193" s="16">
        <v>0.4</v>
      </c>
      <c r="J193" s="15"/>
      <c r="K193" s="16"/>
      <c r="L193" s="15"/>
      <c r="M193" s="63"/>
      <c r="N193" s="17"/>
      <c r="O193" s="16"/>
      <c r="P193" s="16"/>
      <c r="Q193" s="152">
        <f t="shared" si="20"/>
        <v>0</v>
      </c>
      <c r="R193" s="152">
        <f t="shared" si="21"/>
        <v>0</v>
      </c>
      <c r="S193" s="152">
        <f t="shared" si="22"/>
        <v>0.75</v>
      </c>
      <c r="T193" s="18">
        <f t="shared" si="23"/>
        <v>1.1499999999999999</v>
      </c>
    </row>
    <row r="194" spans="2:20" x14ac:dyDescent="0.25">
      <c r="B194" s="117" t="s">
        <v>890</v>
      </c>
      <c r="C194" s="136" t="s">
        <v>891</v>
      </c>
      <c r="D194" s="14" t="s">
        <v>15</v>
      </c>
      <c r="E194" s="14" t="s">
        <v>16</v>
      </c>
      <c r="F194" s="15">
        <v>45764</v>
      </c>
      <c r="G194" s="16">
        <v>0.04</v>
      </c>
      <c r="H194" s="15"/>
      <c r="I194" s="16"/>
      <c r="J194" s="15"/>
      <c r="K194" s="16"/>
      <c r="L194" s="15"/>
      <c r="M194" s="63"/>
      <c r="N194" s="17"/>
      <c r="O194" s="16"/>
      <c r="P194" s="16"/>
      <c r="Q194" s="152">
        <f t="shared" si="20"/>
        <v>0</v>
      </c>
      <c r="R194" s="152">
        <f t="shared" si="21"/>
        <v>0.04</v>
      </c>
      <c r="S194" s="152">
        <f t="shared" si="22"/>
        <v>0.04</v>
      </c>
      <c r="T194" s="18">
        <f t="shared" si="23"/>
        <v>0.04</v>
      </c>
    </row>
    <row r="195" spans="2:20" x14ac:dyDescent="0.25">
      <c r="B195" s="117" t="s">
        <v>758</v>
      </c>
      <c r="C195" s="136" t="s">
        <v>759</v>
      </c>
      <c r="D195" s="14" t="s">
        <v>15</v>
      </c>
      <c r="E195" s="14" t="s">
        <v>16</v>
      </c>
      <c r="F195" s="15">
        <v>45806</v>
      </c>
      <c r="G195" s="16">
        <v>0.05</v>
      </c>
      <c r="H195" s="15"/>
      <c r="I195" s="16"/>
      <c r="J195" s="15"/>
      <c r="K195" s="16"/>
      <c r="L195" s="15"/>
      <c r="M195" s="63"/>
      <c r="N195" s="17"/>
      <c r="O195" s="16"/>
      <c r="P195" s="16"/>
      <c r="Q195" s="152">
        <f t="shared" si="20"/>
        <v>0</v>
      </c>
      <c r="R195" s="152">
        <f t="shared" si="21"/>
        <v>0.05</v>
      </c>
      <c r="S195" s="152">
        <f t="shared" si="22"/>
        <v>0.05</v>
      </c>
      <c r="T195" s="18">
        <f t="shared" si="23"/>
        <v>0.05</v>
      </c>
    </row>
    <row r="196" spans="2:20" x14ac:dyDescent="0.25">
      <c r="B196" s="117" t="s">
        <v>368</v>
      </c>
      <c r="C196" s="136" t="s">
        <v>369</v>
      </c>
      <c r="D196" s="14" t="s">
        <v>27</v>
      </c>
      <c r="E196" s="14" t="s">
        <v>16</v>
      </c>
      <c r="F196" s="15">
        <v>45770</v>
      </c>
      <c r="G196" s="16">
        <v>0.1</v>
      </c>
      <c r="H196" s="15">
        <v>45994</v>
      </c>
      <c r="I196" s="16">
        <v>0.3</v>
      </c>
      <c r="J196" s="15"/>
      <c r="K196" s="16"/>
      <c r="L196" s="15"/>
      <c r="M196" s="63"/>
      <c r="N196" s="17"/>
      <c r="O196" s="16"/>
      <c r="P196" s="16"/>
      <c r="Q196" s="152">
        <f t="shared" si="20"/>
        <v>0</v>
      </c>
      <c r="R196" s="152">
        <f t="shared" si="21"/>
        <v>0.1</v>
      </c>
      <c r="S196" s="152">
        <f t="shared" si="22"/>
        <v>0.1</v>
      </c>
      <c r="T196" s="18">
        <f t="shared" si="23"/>
        <v>0.4</v>
      </c>
    </row>
    <row r="197" spans="2:20" x14ac:dyDescent="0.25">
      <c r="B197" s="117" t="s">
        <v>370</v>
      </c>
      <c r="C197" s="136" t="s">
        <v>721</v>
      </c>
      <c r="D197" s="14" t="s">
        <v>15</v>
      </c>
      <c r="E197" s="14" t="s">
        <v>56</v>
      </c>
      <c r="F197" s="15">
        <v>45743</v>
      </c>
      <c r="G197" s="16">
        <v>0.16289999999999999</v>
      </c>
      <c r="H197" s="15">
        <v>45904</v>
      </c>
      <c r="I197" s="16">
        <v>7.7100000000000002E-2</v>
      </c>
      <c r="J197" s="15"/>
      <c r="K197" s="16"/>
      <c r="L197" s="15"/>
      <c r="M197" s="63"/>
      <c r="N197" s="17"/>
      <c r="O197" s="16"/>
      <c r="P197" s="16"/>
      <c r="Q197" s="152">
        <f t="shared" si="20"/>
        <v>0</v>
      </c>
      <c r="R197" s="152">
        <f t="shared" si="21"/>
        <v>0.16289999999999999</v>
      </c>
      <c r="S197" s="152">
        <f t="shared" si="22"/>
        <v>0.24</v>
      </c>
      <c r="T197" s="18">
        <f t="shared" si="23"/>
        <v>0.24</v>
      </c>
    </row>
    <row r="198" spans="2:20" x14ac:dyDescent="0.25">
      <c r="B198" s="117" t="s">
        <v>372</v>
      </c>
      <c r="C198" s="136" t="s">
        <v>373</v>
      </c>
      <c r="D198" s="14" t="s">
        <v>24</v>
      </c>
      <c r="E198" s="14" t="s">
        <v>16</v>
      </c>
      <c r="F198" s="15">
        <v>45839</v>
      </c>
      <c r="G198" s="16">
        <v>3.6</v>
      </c>
      <c r="H198" s="15"/>
      <c r="I198" s="16"/>
      <c r="J198" s="15"/>
      <c r="K198" s="16"/>
      <c r="L198" s="15"/>
      <c r="M198" s="63"/>
      <c r="N198" s="17"/>
      <c r="O198" s="16"/>
      <c r="P198" s="16"/>
      <c r="Q198" s="152">
        <f t="shared" si="20"/>
        <v>0</v>
      </c>
      <c r="R198" s="152">
        <f t="shared" si="21"/>
        <v>0</v>
      </c>
      <c r="S198" s="152">
        <f t="shared" si="22"/>
        <v>3.6</v>
      </c>
      <c r="T198" s="18">
        <f t="shared" si="23"/>
        <v>3.6</v>
      </c>
    </row>
    <row r="199" spans="2:20" x14ac:dyDescent="0.25">
      <c r="B199" s="117" t="s">
        <v>681</v>
      </c>
      <c r="C199" s="136" t="s">
        <v>682</v>
      </c>
      <c r="D199" s="14" t="s">
        <v>15</v>
      </c>
      <c r="E199" s="14" t="s">
        <v>16</v>
      </c>
      <c r="F199" s="15">
        <v>45747</v>
      </c>
      <c r="G199" s="16">
        <v>1.1000000000000001</v>
      </c>
      <c r="H199" s="15"/>
      <c r="I199" s="16"/>
      <c r="J199" s="15"/>
      <c r="K199" s="16"/>
      <c r="L199" s="15"/>
      <c r="M199" s="63"/>
      <c r="N199" s="17"/>
      <c r="O199" s="16"/>
      <c r="P199" s="16"/>
      <c r="Q199" s="152">
        <f t="shared" si="20"/>
        <v>0</v>
      </c>
      <c r="R199" s="152">
        <f t="shared" si="21"/>
        <v>1.1000000000000001</v>
      </c>
      <c r="S199" s="152">
        <f t="shared" si="22"/>
        <v>1.1000000000000001</v>
      </c>
      <c r="T199" s="18">
        <f t="shared" si="23"/>
        <v>1.1000000000000001</v>
      </c>
    </row>
    <row r="200" spans="2:20" x14ac:dyDescent="0.25">
      <c r="B200" s="117" t="s">
        <v>620</v>
      </c>
      <c r="C200" s="136" t="s">
        <v>375</v>
      </c>
      <c r="D200" s="14" t="s">
        <v>15</v>
      </c>
      <c r="E200" s="14" t="s">
        <v>16</v>
      </c>
      <c r="F200" s="15">
        <v>45744</v>
      </c>
      <c r="G200" s="16">
        <v>1.62</v>
      </c>
      <c r="H200" s="15"/>
      <c r="I200" s="16"/>
      <c r="J200" s="15"/>
      <c r="K200" s="16"/>
      <c r="L200" s="15"/>
      <c r="M200" s="63"/>
      <c r="N200" s="17"/>
      <c r="O200" s="16"/>
      <c r="P200" s="16"/>
      <c r="Q200" s="152">
        <f t="shared" si="20"/>
        <v>0</v>
      </c>
      <c r="R200" s="152">
        <f t="shared" si="21"/>
        <v>1.62</v>
      </c>
      <c r="S200" s="152">
        <f t="shared" si="22"/>
        <v>1.62</v>
      </c>
      <c r="T200" s="18">
        <f t="shared" si="23"/>
        <v>1.62</v>
      </c>
    </row>
    <row r="201" spans="2:20" x14ac:dyDescent="0.25">
      <c r="B201" s="117" t="s">
        <v>376</v>
      </c>
      <c r="C201" s="136" t="s">
        <v>377</v>
      </c>
      <c r="D201" s="14" t="s">
        <v>15</v>
      </c>
      <c r="E201" s="14" t="s">
        <v>761</v>
      </c>
      <c r="F201" s="15">
        <v>45757</v>
      </c>
      <c r="G201" s="16">
        <v>121.7</v>
      </c>
      <c r="H201" s="15">
        <v>45876</v>
      </c>
      <c r="I201" s="16">
        <v>84.4</v>
      </c>
      <c r="J201" s="15"/>
      <c r="K201" s="16"/>
      <c r="L201" s="15"/>
      <c r="M201" s="63"/>
      <c r="N201" s="17"/>
      <c r="O201" s="16"/>
      <c r="P201" s="16"/>
      <c r="Q201" s="152">
        <f t="shared" si="20"/>
        <v>0</v>
      </c>
      <c r="R201" s="152">
        <f t="shared" si="21"/>
        <v>121.7</v>
      </c>
      <c r="S201" s="152">
        <f t="shared" si="22"/>
        <v>206.10000000000002</v>
      </c>
      <c r="T201" s="18">
        <f t="shared" si="23"/>
        <v>206.10000000000002</v>
      </c>
    </row>
    <row r="202" spans="2:20" x14ac:dyDescent="0.25">
      <c r="B202" s="117" t="s">
        <v>936</v>
      </c>
      <c r="C202" s="136" t="s">
        <v>379</v>
      </c>
      <c r="D202" s="14" t="s">
        <v>15</v>
      </c>
      <c r="E202" s="14" t="s">
        <v>16</v>
      </c>
      <c r="F202" s="15">
        <v>45660</v>
      </c>
      <c r="G202" s="16">
        <v>0.2</v>
      </c>
      <c r="H202" s="15">
        <v>45842</v>
      </c>
      <c r="I202" s="16">
        <v>0.6</v>
      </c>
      <c r="J202" s="15"/>
      <c r="K202" s="16"/>
      <c r="L202" s="15"/>
      <c r="M202" s="63"/>
      <c r="N202" s="17"/>
      <c r="O202" s="16"/>
      <c r="P202" s="16"/>
      <c r="Q202" s="152">
        <f t="shared" si="20"/>
        <v>0.2</v>
      </c>
      <c r="R202" s="152">
        <f t="shared" si="21"/>
        <v>0.2</v>
      </c>
      <c r="S202" s="152">
        <f t="shared" si="22"/>
        <v>0.8</v>
      </c>
      <c r="T202" s="18">
        <f t="shared" si="23"/>
        <v>0.8</v>
      </c>
    </row>
    <row r="203" spans="2:20" x14ac:dyDescent="0.25">
      <c r="B203" s="117" t="s">
        <v>382</v>
      </c>
      <c r="C203" s="136" t="s">
        <v>381</v>
      </c>
      <c r="D203" s="45" t="s">
        <v>15</v>
      </c>
      <c r="E203" s="45" t="s">
        <v>16</v>
      </c>
      <c r="F203" s="15">
        <v>45785</v>
      </c>
      <c r="G203" s="16">
        <v>0.53100000000000003</v>
      </c>
      <c r="H203" s="15">
        <v>45876</v>
      </c>
      <c r="I203" s="16">
        <f>0.195/0.8717</f>
        <v>0.22370081450040152</v>
      </c>
      <c r="J203" s="15"/>
      <c r="K203" s="16"/>
      <c r="L203" s="15"/>
      <c r="M203" s="63"/>
      <c r="N203" s="17"/>
      <c r="O203" s="16"/>
      <c r="P203" s="16"/>
      <c r="Q203" s="152">
        <f t="shared" si="20"/>
        <v>0</v>
      </c>
      <c r="R203" s="152">
        <f t="shared" si="21"/>
        <v>0.53100000000000003</v>
      </c>
      <c r="S203" s="152">
        <f t="shared" si="22"/>
        <v>0.7547008145004015</v>
      </c>
      <c r="T203" s="18">
        <f t="shared" si="23"/>
        <v>0.7547008145004015</v>
      </c>
    </row>
    <row r="204" spans="2:20" x14ac:dyDescent="0.25">
      <c r="B204" s="117" t="s">
        <v>382</v>
      </c>
      <c r="C204" s="136" t="s">
        <v>383</v>
      </c>
      <c r="D204" s="45" t="s">
        <v>15</v>
      </c>
      <c r="E204" s="14" t="s">
        <v>761</v>
      </c>
      <c r="F204" s="15">
        <v>45785</v>
      </c>
      <c r="G204" s="16">
        <v>44.8</v>
      </c>
      <c r="H204" s="15">
        <v>45876</v>
      </c>
      <c r="I204" s="16">
        <v>19.5</v>
      </c>
      <c r="J204" s="15"/>
      <c r="K204" s="16"/>
      <c r="L204" s="15"/>
      <c r="M204" s="63"/>
      <c r="N204" s="17"/>
      <c r="O204" s="16"/>
      <c r="P204" s="16"/>
      <c r="Q204" s="152">
        <f t="shared" si="20"/>
        <v>0</v>
      </c>
      <c r="R204" s="152">
        <f t="shared" si="21"/>
        <v>44.8</v>
      </c>
      <c r="S204" s="152">
        <f t="shared" si="22"/>
        <v>64.3</v>
      </c>
      <c r="T204" s="18">
        <f t="shared" si="23"/>
        <v>64.3</v>
      </c>
    </row>
    <row r="205" spans="2:20" x14ac:dyDescent="0.25">
      <c r="B205" s="117" t="s">
        <v>384</v>
      </c>
      <c r="C205" s="136" t="s">
        <v>385</v>
      </c>
      <c r="D205" s="45" t="s">
        <v>24</v>
      </c>
      <c r="E205" s="14" t="s">
        <v>16</v>
      </c>
      <c r="F205" s="15">
        <v>45785</v>
      </c>
      <c r="G205" s="16">
        <v>2.2000000000000002</v>
      </c>
      <c r="H205" s="15"/>
      <c r="I205" s="16"/>
      <c r="J205" s="15"/>
      <c r="K205" s="16"/>
      <c r="L205" s="15"/>
      <c r="M205" s="63"/>
      <c r="N205" s="17"/>
      <c r="O205" s="16"/>
      <c r="P205" s="16"/>
      <c r="Q205" s="152">
        <f t="shared" si="20"/>
        <v>0</v>
      </c>
      <c r="R205" s="152">
        <f t="shared" si="21"/>
        <v>2.2000000000000002</v>
      </c>
      <c r="S205" s="152">
        <f t="shared" si="22"/>
        <v>2.2000000000000002</v>
      </c>
      <c r="T205" s="18">
        <f t="shared" si="23"/>
        <v>2.2000000000000002</v>
      </c>
    </row>
    <row r="206" spans="2:20" x14ac:dyDescent="0.25">
      <c r="B206" s="117" t="s">
        <v>386</v>
      </c>
      <c r="C206" s="136" t="s">
        <v>387</v>
      </c>
      <c r="D206" s="14" t="s">
        <v>15</v>
      </c>
      <c r="E206" s="14" t="s">
        <v>16</v>
      </c>
      <c r="F206" s="15">
        <v>45667</v>
      </c>
      <c r="G206" s="16">
        <v>0.47499999999999998</v>
      </c>
      <c r="H206" s="15">
        <v>45842</v>
      </c>
      <c r="I206" s="16">
        <v>0.5</v>
      </c>
      <c r="J206" s="15"/>
      <c r="K206" s="16"/>
      <c r="L206" s="15"/>
      <c r="M206" s="63"/>
      <c r="N206" s="17"/>
      <c r="O206" s="16"/>
      <c r="P206" s="16"/>
      <c r="Q206" s="152">
        <f t="shared" si="20"/>
        <v>0.47499999999999998</v>
      </c>
      <c r="R206" s="152">
        <f t="shared" si="21"/>
        <v>0.47499999999999998</v>
      </c>
      <c r="S206" s="152">
        <f t="shared" si="22"/>
        <v>0.97499999999999998</v>
      </c>
      <c r="T206" s="18">
        <f t="shared" si="23"/>
        <v>0.97499999999999998</v>
      </c>
    </row>
    <row r="207" spans="2:20" x14ac:dyDescent="0.25">
      <c r="B207" s="117" t="s">
        <v>388</v>
      </c>
      <c r="C207" s="136" t="s">
        <v>389</v>
      </c>
      <c r="D207" s="14" t="s">
        <v>15</v>
      </c>
      <c r="E207" s="14" t="s">
        <v>761</v>
      </c>
      <c r="F207" s="15">
        <v>45722</v>
      </c>
      <c r="G207" s="16">
        <f>2.25/1.0694*0.835*100</f>
        <v>175.68262577146064</v>
      </c>
      <c r="H207" s="15">
        <v>45883</v>
      </c>
      <c r="I207" s="16">
        <f>1.48*100/1.1711*0.8631</f>
        <v>109.07591153616258</v>
      </c>
      <c r="J207" s="15"/>
      <c r="K207" s="16"/>
      <c r="L207" s="15"/>
      <c r="M207" s="63"/>
      <c r="N207" s="17"/>
      <c r="O207" s="16"/>
      <c r="P207" s="16"/>
      <c r="Q207" s="152">
        <f t="shared" si="20"/>
        <v>175.68262577146064</v>
      </c>
      <c r="R207" s="152">
        <f t="shared" si="21"/>
        <v>175.68262577146064</v>
      </c>
      <c r="S207" s="152">
        <f t="shared" si="22"/>
        <v>284.75853730762321</v>
      </c>
      <c r="T207" s="18">
        <f t="shared" si="23"/>
        <v>284.75853730762321</v>
      </c>
    </row>
    <row r="208" spans="2:20" x14ac:dyDescent="0.25">
      <c r="B208" s="117" t="s">
        <v>390</v>
      </c>
      <c r="C208" s="136" t="s">
        <v>391</v>
      </c>
      <c r="D208" s="14" t="s">
        <v>15</v>
      </c>
      <c r="E208" s="14" t="s">
        <v>21</v>
      </c>
      <c r="F208" s="15">
        <v>45743</v>
      </c>
      <c r="G208" s="16">
        <v>9.6999999999999993</v>
      </c>
      <c r="H208" s="15"/>
      <c r="I208" s="16"/>
      <c r="J208" s="15"/>
      <c r="K208" s="16"/>
      <c r="L208" s="15"/>
      <c r="M208" s="63"/>
      <c r="N208" s="17"/>
      <c r="O208" s="16"/>
      <c r="P208" s="16"/>
      <c r="Q208" s="152">
        <f t="shared" ref="Q208:Q270" si="24">IF(F208&lt;=Exp25Q1,G208,0)+IF(H208&lt;=Exp25Q1,I208,0)+IF(J208&lt;=Exp25Q1,K208,0)+IF(L208&lt;=Exp25Q1,M208,0)+IF(N208&lt;=Exp25Q1,O208,0)</f>
        <v>0</v>
      </c>
      <c r="R208" s="152">
        <f t="shared" ref="R208:R270" si="25">IF(F208&lt;=Exp25H1,G208,0)+IF(H208&lt;=Exp25H1,I208,0)+IF(J208&lt;=Exp25H1,K208,0)+IF(L208&lt;=Exp25H1,M208,0)+IF(N208&lt;=Exp25H1,O208,0)</f>
        <v>9.6999999999999993</v>
      </c>
      <c r="S208" s="152">
        <f t="shared" ref="S208:S270" si="26">IF(F208&lt;=Exp25Q3,G208,0)+IF(H208&lt;=Exp25Q3,I208,0)+IF(J208&lt;=Exp25Q3,K208,0)+IF(L208&lt;=Exp25Q3,M208,0)+IF(N208&lt;=Exp25Q3,O208,0)</f>
        <v>9.6999999999999993</v>
      </c>
      <c r="T208" s="18">
        <f t="shared" ref="T208:T270" si="27">G208+I208+K208+M208+O208</f>
        <v>9.6999999999999993</v>
      </c>
    </row>
    <row r="209" spans="2:20" x14ac:dyDescent="0.25">
      <c r="B209" s="117" t="s">
        <v>392</v>
      </c>
      <c r="C209" s="136" t="s">
        <v>393</v>
      </c>
      <c r="D209" s="14" t="s">
        <v>15</v>
      </c>
      <c r="E209" s="14" t="s">
        <v>761</v>
      </c>
      <c r="F209" s="15">
        <v>45764</v>
      </c>
      <c r="G209" s="16">
        <v>6</v>
      </c>
      <c r="H209" s="15">
        <v>45876</v>
      </c>
      <c r="I209" s="16">
        <v>4.5</v>
      </c>
      <c r="J209" s="15"/>
      <c r="K209" s="16"/>
      <c r="L209" s="15"/>
      <c r="M209" s="63"/>
      <c r="N209" s="17"/>
      <c r="O209" s="16"/>
      <c r="P209" s="16"/>
      <c r="Q209" s="152">
        <f t="shared" si="24"/>
        <v>0</v>
      </c>
      <c r="R209" s="152">
        <f t="shared" si="25"/>
        <v>6</v>
      </c>
      <c r="S209" s="152">
        <f t="shared" si="26"/>
        <v>10.5</v>
      </c>
      <c r="T209" s="18">
        <f t="shared" si="27"/>
        <v>10.5</v>
      </c>
    </row>
    <row r="210" spans="2:20" x14ac:dyDescent="0.25">
      <c r="B210" s="117" t="s">
        <v>396</v>
      </c>
      <c r="C210" s="136" t="s">
        <v>397</v>
      </c>
      <c r="D210" s="14" t="s">
        <v>15</v>
      </c>
      <c r="E210" s="14" t="s">
        <v>16</v>
      </c>
      <c r="F210" s="15">
        <v>45779</v>
      </c>
      <c r="G210" s="16">
        <v>1.1000000000000001</v>
      </c>
      <c r="H210" s="15"/>
      <c r="I210" s="16"/>
      <c r="J210" s="15"/>
      <c r="K210" s="16"/>
      <c r="L210" s="15"/>
      <c r="M210" s="63"/>
      <c r="N210" s="17"/>
      <c r="O210" s="16"/>
      <c r="P210" s="16"/>
      <c r="Q210" s="152">
        <f t="shared" si="24"/>
        <v>0</v>
      </c>
      <c r="R210" s="152">
        <f t="shared" si="25"/>
        <v>1.1000000000000001</v>
      </c>
      <c r="S210" s="152">
        <f t="shared" si="26"/>
        <v>1.1000000000000001</v>
      </c>
      <c r="T210" s="18">
        <f t="shared" si="27"/>
        <v>1.1000000000000001</v>
      </c>
    </row>
    <row r="211" spans="2:20" x14ac:dyDescent="0.25">
      <c r="B211" s="117" t="s">
        <v>398</v>
      </c>
      <c r="C211" s="136" t="s">
        <v>399</v>
      </c>
      <c r="D211" s="14" t="s">
        <v>24</v>
      </c>
      <c r="E211" s="14" t="s">
        <v>16</v>
      </c>
      <c r="F211" s="15">
        <v>45804</v>
      </c>
      <c r="G211" s="16">
        <v>2.9</v>
      </c>
      <c r="H211" s="15"/>
      <c r="I211" s="16"/>
      <c r="J211" s="15"/>
      <c r="K211" s="16"/>
      <c r="L211" s="15"/>
      <c r="M211" s="63"/>
      <c r="N211" s="17"/>
      <c r="O211" s="16"/>
      <c r="P211" s="16"/>
      <c r="Q211" s="152">
        <f t="shared" si="24"/>
        <v>0</v>
      </c>
      <c r="R211" s="152">
        <f t="shared" si="25"/>
        <v>2.9</v>
      </c>
      <c r="S211" s="152">
        <f t="shared" si="26"/>
        <v>2.9</v>
      </c>
      <c r="T211" s="18">
        <f t="shared" si="27"/>
        <v>2.9</v>
      </c>
    </row>
    <row r="212" spans="2:20" x14ac:dyDescent="0.25">
      <c r="B212" s="117" t="s">
        <v>400</v>
      </c>
      <c r="C212" s="136" t="s">
        <v>401</v>
      </c>
      <c r="D212" s="14" t="s">
        <v>24</v>
      </c>
      <c r="E212" s="14" t="s">
        <v>16</v>
      </c>
      <c r="F212" s="15">
        <v>45817</v>
      </c>
      <c r="G212" s="16">
        <v>2.2000000000000002</v>
      </c>
      <c r="H212" s="15"/>
      <c r="I212" s="16"/>
      <c r="J212" s="15"/>
      <c r="K212" s="16"/>
      <c r="L212" s="15"/>
      <c r="M212" s="63"/>
      <c r="N212" s="17"/>
      <c r="O212" s="16"/>
      <c r="P212" s="16"/>
      <c r="Q212" s="152">
        <f t="shared" si="24"/>
        <v>0</v>
      </c>
      <c r="R212" s="152">
        <f t="shared" si="25"/>
        <v>2.2000000000000002</v>
      </c>
      <c r="S212" s="152">
        <f t="shared" si="26"/>
        <v>2.2000000000000002</v>
      </c>
      <c r="T212" s="18">
        <f t="shared" si="27"/>
        <v>2.2000000000000002</v>
      </c>
    </row>
    <row r="213" spans="2:20" x14ac:dyDescent="0.25">
      <c r="B213" s="117" t="s">
        <v>919</v>
      </c>
      <c r="C213" s="136" t="s">
        <v>920</v>
      </c>
      <c r="D213" s="14" t="s">
        <v>755</v>
      </c>
      <c r="E213" s="14" t="s">
        <v>475</v>
      </c>
      <c r="F213" s="15">
        <v>45827</v>
      </c>
      <c r="G213" s="16">
        <v>22</v>
      </c>
      <c r="H213" s="15"/>
      <c r="I213" s="16"/>
      <c r="J213" s="15"/>
      <c r="K213" s="16"/>
      <c r="L213" s="15"/>
      <c r="M213" s="63"/>
      <c r="N213" s="17"/>
      <c r="O213" s="16"/>
      <c r="P213" s="16"/>
      <c r="Q213" s="152">
        <f t="shared" si="24"/>
        <v>0</v>
      </c>
      <c r="R213" s="152">
        <f t="shared" si="25"/>
        <v>22</v>
      </c>
      <c r="S213" s="152">
        <f t="shared" si="26"/>
        <v>22</v>
      </c>
      <c r="T213" s="18">
        <f t="shared" si="27"/>
        <v>22</v>
      </c>
    </row>
    <row r="214" spans="2:20" x14ac:dyDescent="0.25">
      <c r="B214" s="117" t="s">
        <v>404</v>
      </c>
      <c r="C214" s="136" t="s">
        <v>405</v>
      </c>
      <c r="D214" s="14" t="s">
        <v>15</v>
      </c>
      <c r="E214" s="14" t="s">
        <v>16</v>
      </c>
      <c r="F214" s="15">
        <v>45771</v>
      </c>
      <c r="G214" s="16">
        <v>0.34</v>
      </c>
      <c r="H214" s="15"/>
      <c r="I214" s="16"/>
      <c r="J214" s="15"/>
      <c r="K214" s="16"/>
      <c r="L214" s="15"/>
      <c r="M214" s="63"/>
      <c r="N214" s="17"/>
      <c r="O214" s="16"/>
      <c r="P214" s="16"/>
      <c r="Q214" s="152">
        <f t="shared" si="24"/>
        <v>0</v>
      </c>
      <c r="R214" s="152">
        <f t="shared" si="25"/>
        <v>0.34</v>
      </c>
      <c r="S214" s="152">
        <f t="shared" si="26"/>
        <v>0.34</v>
      </c>
      <c r="T214" s="18">
        <f t="shared" si="27"/>
        <v>0.34</v>
      </c>
    </row>
    <row r="215" spans="2:20" x14ac:dyDescent="0.25">
      <c r="B215" s="155" t="s">
        <v>840</v>
      </c>
      <c r="C215" s="156" t="s">
        <v>841</v>
      </c>
      <c r="D215" s="39" t="s">
        <v>15</v>
      </c>
      <c r="E215" s="39" t="s">
        <v>200</v>
      </c>
      <c r="F215" s="15">
        <v>45777</v>
      </c>
      <c r="G215" s="16">
        <v>5.75</v>
      </c>
      <c r="H215" s="15"/>
      <c r="I215" s="16"/>
      <c r="J215" s="15"/>
      <c r="K215" s="16"/>
      <c r="L215" s="15"/>
      <c r="M215" s="63"/>
      <c r="N215" s="17"/>
      <c r="O215" s="16"/>
      <c r="P215" s="41"/>
      <c r="Q215" s="152">
        <f t="shared" si="24"/>
        <v>0</v>
      </c>
      <c r="R215" s="152">
        <f t="shared" si="25"/>
        <v>5.75</v>
      </c>
      <c r="S215" s="152">
        <f t="shared" si="26"/>
        <v>5.75</v>
      </c>
      <c r="T215" s="18">
        <f t="shared" si="27"/>
        <v>5.75</v>
      </c>
    </row>
    <row r="216" spans="2:20" x14ac:dyDescent="0.25">
      <c r="B216" s="117" t="s">
        <v>406</v>
      </c>
      <c r="C216" s="136" t="s">
        <v>547</v>
      </c>
      <c r="D216" s="14" t="s">
        <v>24</v>
      </c>
      <c r="E216" s="14" t="s">
        <v>16</v>
      </c>
      <c r="F216" s="15">
        <v>45789</v>
      </c>
      <c r="G216" s="16">
        <v>3.92</v>
      </c>
      <c r="H216" s="15"/>
      <c r="I216" s="16"/>
      <c r="J216" s="15"/>
      <c r="K216" s="16"/>
      <c r="L216" s="15"/>
      <c r="M216" s="63"/>
      <c r="N216" s="17"/>
      <c r="O216" s="16"/>
      <c r="P216" s="16"/>
      <c r="Q216" s="152">
        <f t="shared" si="24"/>
        <v>0</v>
      </c>
      <c r="R216" s="152">
        <f t="shared" si="25"/>
        <v>3.92</v>
      </c>
      <c r="S216" s="152">
        <f t="shared" si="26"/>
        <v>3.92</v>
      </c>
      <c r="T216" s="18">
        <f t="shared" si="27"/>
        <v>3.92</v>
      </c>
    </row>
    <row r="217" spans="2:20" x14ac:dyDescent="0.25">
      <c r="B217" s="158" t="s">
        <v>408</v>
      </c>
      <c r="C217" s="159" t="s">
        <v>409</v>
      </c>
      <c r="D217" s="45" t="s">
        <v>15</v>
      </c>
      <c r="E217" s="45" t="s">
        <v>16</v>
      </c>
      <c r="F217" s="15">
        <v>45791</v>
      </c>
      <c r="G217" s="16">
        <v>2.35</v>
      </c>
      <c r="H217" s="15"/>
      <c r="I217" s="16"/>
      <c r="J217" s="15"/>
      <c r="K217" s="16"/>
      <c r="L217" s="15"/>
      <c r="M217" s="63"/>
      <c r="N217" s="17"/>
      <c r="O217" s="16"/>
      <c r="P217" s="47"/>
      <c r="Q217" s="152">
        <f t="shared" si="24"/>
        <v>0</v>
      </c>
      <c r="R217" s="152">
        <f t="shared" si="25"/>
        <v>2.35</v>
      </c>
      <c r="S217" s="152">
        <f t="shared" si="26"/>
        <v>2.35</v>
      </c>
      <c r="T217" s="18">
        <f t="shared" si="27"/>
        <v>2.35</v>
      </c>
    </row>
    <row r="218" spans="2:20" x14ac:dyDescent="0.25">
      <c r="B218" s="117" t="s">
        <v>410</v>
      </c>
      <c r="C218" s="136" t="s">
        <v>411</v>
      </c>
      <c r="D218" s="14" t="s">
        <v>15</v>
      </c>
      <c r="E218" s="14" t="s">
        <v>16</v>
      </c>
      <c r="F218" s="15">
        <v>45758</v>
      </c>
      <c r="G218" s="16">
        <v>0.86060000000000003</v>
      </c>
      <c r="H218" s="15"/>
      <c r="I218" s="16"/>
      <c r="J218" s="15"/>
      <c r="K218" s="16"/>
      <c r="L218" s="15"/>
      <c r="M218" s="63"/>
      <c r="N218" s="17"/>
      <c r="O218" s="16"/>
      <c r="P218" s="16"/>
      <c r="Q218" s="152">
        <f t="shared" si="24"/>
        <v>0</v>
      </c>
      <c r="R218" s="152">
        <f t="shared" si="25"/>
        <v>0.86060000000000003</v>
      </c>
      <c r="S218" s="152">
        <f t="shared" si="26"/>
        <v>0.86060000000000003</v>
      </c>
      <c r="T218" s="18">
        <f t="shared" si="27"/>
        <v>0.86060000000000003</v>
      </c>
    </row>
    <row r="219" spans="2:20" x14ac:dyDescent="0.25">
      <c r="B219" s="117" t="s">
        <v>412</v>
      </c>
      <c r="C219" s="136" t="s">
        <v>413</v>
      </c>
      <c r="D219" s="14" t="s">
        <v>24</v>
      </c>
      <c r="E219" s="14" t="s">
        <v>16</v>
      </c>
      <c r="F219" s="15">
        <v>45790</v>
      </c>
      <c r="G219" s="16">
        <v>3.9</v>
      </c>
      <c r="H219" s="15"/>
      <c r="I219" s="16"/>
      <c r="J219" s="15"/>
      <c r="K219" s="16"/>
      <c r="L219" s="15"/>
      <c r="M219" s="63"/>
      <c r="N219" s="17"/>
      <c r="O219" s="16"/>
      <c r="P219" s="16"/>
      <c r="Q219" s="152">
        <f t="shared" si="24"/>
        <v>0</v>
      </c>
      <c r="R219" s="152">
        <f t="shared" si="25"/>
        <v>3.9</v>
      </c>
      <c r="S219" s="152">
        <f t="shared" si="26"/>
        <v>3.9</v>
      </c>
      <c r="T219" s="18">
        <f t="shared" si="27"/>
        <v>3.9</v>
      </c>
    </row>
    <row r="220" spans="2:20" x14ac:dyDescent="0.25">
      <c r="B220" s="117" t="s">
        <v>414</v>
      </c>
      <c r="C220" s="136" t="s">
        <v>415</v>
      </c>
      <c r="D220" s="14" t="s">
        <v>24</v>
      </c>
      <c r="E220" s="14" t="s">
        <v>16</v>
      </c>
      <c r="F220" s="15">
        <v>45779</v>
      </c>
      <c r="G220" s="16">
        <v>1.8</v>
      </c>
      <c r="H220" s="15"/>
      <c r="I220" s="16"/>
      <c r="J220" s="15"/>
      <c r="K220" s="16"/>
      <c r="L220" s="15"/>
      <c r="M220" s="63"/>
      <c r="N220" s="17"/>
      <c r="O220" s="16"/>
      <c r="P220" s="16"/>
      <c r="Q220" s="152">
        <f t="shared" si="24"/>
        <v>0</v>
      </c>
      <c r="R220" s="152">
        <f t="shared" si="25"/>
        <v>1.8</v>
      </c>
      <c r="S220" s="152">
        <f t="shared" si="26"/>
        <v>1.8</v>
      </c>
      <c r="T220" s="18">
        <f t="shared" si="27"/>
        <v>1.8</v>
      </c>
    </row>
    <row r="221" spans="2:20" x14ac:dyDescent="0.25">
      <c r="B221" s="117" t="s">
        <v>888</v>
      </c>
      <c r="C221" s="136" t="s">
        <v>889</v>
      </c>
      <c r="D221" s="14" t="s">
        <v>15</v>
      </c>
      <c r="E221" s="14" t="s">
        <v>200</v>
      </c>
      <c r="F221" s="15">
        <v>45786</v>
      </c>
      <c r="G221" s="16">
        <v>2.25</v>
      </c>
      <c r="H221" s="15">
        <v>45980</v>
      </c>
      <c r="I221" s="16">
        <v>2.25</v>
      </c>
      <c r="J221" s="15"/>
      <c r="K221" s="16"/>
      <c r="L221" s="15"/>
      <c r="M221" s="63"/>
      <c r="N221" s="17"/>
      <c r="O221" s="16"/>
      <c r="P221" s="16"/>
      <c r="Q221" s="152">
        <f t="shared" si="24"/>
        <v>0</v>
      </c>
      <c r="R221" s="152">
        <f t="shared" si="25"/>
        <v>2.25</v>
      </c>
      <c r="S221" s="152">
        <f t="shared" si="26"/>
        <v>2.25</v>
      </c>
      <c r="T221" s="18">
        <f t="shared" si="27"/>
        <v>4.5</v>
      </c>
    </row>
    <row r="222" spans="2:20" x14ac:dyDescent="0.25">
      <c r="B222" s="117" t="s">
        <v>418</v>
      </c>
      <c r="C222" s="136" t="s">
        <v>419</v>
      </c>
      <c r="D222" s="14" t="s">
        <v>15</v>
      </c>
      <c r="E222" s="14" t="s">
        <v>761</v>
      </c>
      <c r="F222" s="15">
        <v>45806</v>
      </c>
      <c r="G222" s="16">
        <v>73.03</v>
      </c>
      <c r="H222" s="15">
        <v>45988</v>
      </c>
      <c r="I222" s="16">
        <v>50.4</v>
      </c>
      <c r="J222" s="15"/>
      <c r="K222" s="16"/>
      <c r="L222" s="15"/>
      <c r="M222" s="63"/>
      <c r="N222" s="17"/>
      <c r="O222" s="16"/>
      <c r="P222" s="16"/>
      <c r="Q222" s="152">
        <f t="shared" si="24"/>
        <v>0</v>
      </c>
      <c r="R222" s="152">
        <f t="shared" si="25"/>
        <v>73.03</v>
      </c>
      <c r="S222" s="152">
        <f t="shared" si="26"/>
        <v>73.03</v>
      </c>
      <c r="T222" s="18">
        <f t="shared" si="27"/>
        <v>123.43</v>
      </c>
    </row>
    <row r="223" spans="2:20" x14ac:dyDescent="0.25">
      <c r="B223" s="155" t="s">
        <v>420</v>
      </c>
      <c r="C223" s="156" t="s">
        <v>421</v>
      </c>
      <c r="D223" s="39" t="s">
        <v>15</v>
      </c>
      <c r="E223" s="39" t="s">
        <v>21</v>
      </c>
      <c r="F223" s="15">
        <v>45749</v>
      </c>
      <c r="G223" s="16">
        <v>3.2</v>
      </c>
      <c r="H223" s="15"/>
      <c r="I223" s="16"/>
      <c r="J223" s="15"/>
      <c r="K223" s="16"/>
      <c r="L223" s="15"/>
      <c r="M223" s="63"/>
      <c r="N223" s="17"/>
      <c r="O223" s="16"/>
      <c r="P223" s="41"/>
      <c r="Q223" s="152">
        <f t="shared" si="24"/>
        <v>0</v>
      </c>
      <c r="R223" s="152">
        <f t="shared" si="25"/>
        <v>3.2</v>
      </c>
      <c r="S223" s="152">
        <f t="shared" si="26"/>
        <v>3.2</v>
      </c>
      <c r="T223" s="18">
        <f t="shared" si="27"/>
        <v>3.2</v>
      </c>
    </row>
    <row r="224" spans="2:20" x14ac:dyDescent="0.25">
      <c r="B224" s="117" t="s">
        <v>822</v>
      </c>
      <c r="C224" s="136" t="s">
        <v>395</v>
      </c>
      <c r="D224" s="14" t="s">
        <v>15</v>
      </c>
      <c r="E224" s="14" t="s">
        <v>16</v>
      </c>
      <c r="F224" s="15">
        <v>45701</v>
      </c>
      <c r="G224" s="16">
        <v>0.33150000000000002</v>
      </c>
      <c r="H224" s="15">
        <v>45792</v>
      </c>
      <c r="I224" s="16">
        <f>0.358/1.1214</f>
        <v>0.31924380238986982</v>
      </c>
      <c r="J224" s="15">
        <v>45883</v>
      </c>
      <c r="K224" s="16">
        <f>0.358/1.1711</f>
        <v>0.30569549995730505</v>
      </c>
      <c r="L224" s="15">
        <v>45974</v>
      </c>
      <c r="M224" s="16">
        <f>0.358/1.1576</f>
        <v>0.30926053904630268</v>
      </c>
      <c r="N224" s="17"/>
      <c r="O224" s="16"/>
      <c r="P224" s="16"/>
      <c r="Q224" s="152">
        <f t="shared" si="24"/>
        <v>0.33150000000000002</v>
      </c>
      <c r="R224" s="152">
        <f t="shared" si="25"/>
        <v>0.65074380238986984</v>
      </c>
      <c r="S224" s="152">
        <f t="shared" si="26"/>
        <v>0.95643930234717489</v>
      </c>
      <c r="T224" s="18">
        <f t="shared" si="27"/>
        <v>1.2656998413934777</v>
      </c>
    </row>
    <row r="225" spans="2:20" x14ac:dyDescent="0.25">
      <c r="B225" s="117" t="s">
        <v>738</v>
      </c>
      <c r="C225" s="136" t="s">
        <v>740</v>
      </c>
      <c r="D225" s="39" t="s">
        <v>15</v>
      </c>
      <c r="E225" s="14" t="s">
        <v>16</v>
      </c>
      <c r="F225" s="15">
        <v>45702</v>
      </c>
      <c r="G225" s="16">
        <v>5.2</v>
      </c>
      <c r="H225" s="15"/>
      <c r="I225" s="16"/>
      <c r="J225" s="15"/>
      <c r="K225" s="16"/>
      <c r="L225" s="15"/>
      <c r="M225" s="63"/>
      <c r="N225" s="17"/>
      <c r="O225" s="16"/>
      <c r="P225" s="16"/>
      <c r="Q225" s="152">
        <f t="shared" si="24"/>
        <v>5.2</v>
      </c>
      <c r="R225" s="152">
        <f t="shared" si="25"/>
        <v>5.2</v>
      </c>
      <c r="S225" s="152">
        <f t="shared" si="26"/>
        <v>5.2</v>
      </c>
      <c r="T225" s="18">
        <f t="shared" si="27"/>
        <v>5.2</v>
      </c>
    </row>
    <row r="226" spans="2:20" x14ac:dyDescent="0.25">
      <c r="B226" s="155" t="s">
        <v>739</v>
      </c>
      <c r="C226" s="156" t="s">
        <v>741</v>
      </c>
      <c r="D226" s="39" t="s">
        <v>15</v>
      </c>
      <c r="E226" s="39" t="s">
        <v>16</v>
      </c>
      <c r="F226" s="15"/>
      <c r="G226" s="16"/>
      <c r="H226" s="15"/>
      <c r="I226" s="16"/>
      <c r="J226" s="15"/>
      <c r="K226" s="16"/>
      <c r="L226" s="15"/>
      <c r="M226" s="63"/>
      <c r="N226" s="17"/>
      <c r="O226" s="16"/>
      <c r="P226" s="41"/>
      <c r="Q226" s="152">
        <f t="shared" si="24"/>
        <v>0</v>
      </c>
      <c r="R226" s="152">
        <f t="shared" si="25"/>
        <v>0</v>
      </c>
      <c r="S226" s="152">
        <f t="shared" si="26"/>
        <v>0</v>
      </c>
      <c r="T226" s="18">
        <f t="shared" si="27"/>
        <v>0</v>
      </c>
    </row>
    <row r="227" spans="2:20" x14ac:dyDescent="0.25">
      <c r="B227" s="117" t="s">
        <v>771</v>
      </c>
      <c r="C227" s="136" t="s">
        <v>772</v>
      </c>
      <c r="D227" s="39" t="s">
        <v>15</v>
      </c>
      <c r="E227" s="14" t="s">
        <v>16</v>
      </c>
      <c r="F227" s="15">
        <v>45776</v>
      </c>
      <c r="G227" s="16">
        <v>1.56</v>
      </c>
      <c r="H227" s="15"/>
      <c r="I227" s="16"/>
      <c r="J227" s="15"/>
      <c r="K227" s="16"/>
      <c r="L227" s="15"/>
      <c r="M227" s="63"/>
      <c r="N227" s="17"/>
      <c r="O227" s="16"/>
      <c r="P227" s="16"/>
      <c r="Q227" s="152">
        <f t="shared" si="24"/>
        <v>0</v>
      </c>
      <c r="R227" s="152">
        <f t="shared" si="25"/>
        <v>1.56</v>
      </c>
      <c r="S227" s="152">
        <f t="shared" si="26"/>
        <v>1.56</v>
      </c>
      <c r="T227" s="18">
        <f t="shared" si="27"/>
        <v>1.56</v>
      </c>
    </row>
    <row r="228" spans="2:20" x14ac:dyDescent="0.25">
      <c r="B228" s="117" t="s">
        <v>879</v>
      </c>
      <c r="C228" s="136" t="s">
        <v>880</v>
      </c>
      <c r="D228" s="14" t="s">
        <v>15</v>
      </c>
      <c r="E228" s="14" t="s">
        <v>21</v>
      </c>
      <c r="F228" s="15">
        <v>45743</v>
      </c>
      <c r="G228" s="16">
        <v>1.8</v>
      </c>
      <c r="H228" s="15"/>
      <c r="I228" s="16"/>
      <c r="J228" s="15"/>
      <c r="K228" s="16"/>
      <c r="L228" s="15"/>
      <c r="M228" s="63"/>
      <c r="N228" s="17"/>
      <c r="O228" s="16"/>
      <c r="P228" s="16"/>
      <c r="Q228" s="152">
        <f t="shared" si="24"/>
        <v>0</v>
      </c>
      <c r="R228" s="152">
        <f t="shared" si="25"/>
        <v>1.8</v>
      </c>
      <c r="S228" s="152">
        <f t="shared" si="26"/>
        <v>1.8</v>
      </c>
      <c r="T228" s="18">
        <f t="shared" si="27"/>
        <v>1.8</v>
      </c>
    </row>
    <row r="229" spans="2:20" x14ac:dyDescent="0.25">
      <c r="B229" s="158" t="s">
        <v>850</v>
      </c>
      <c r="C229" s="159" t="s">
        <v>848</v>
      </c>
      <c r="D229" s="39" t="s">
        <v>15</v>
      </c>
      <c r="E229" s="45" t="s">
        <v>849</v>
      </c>
      <c r="F229" s="15"/>
      <c r="G229" s="16"/>
      <c r="H229" s="15"/>
      <c r="I229" s="16"/>
      <c r="J229" s="15"/>
      <c r="K229" s="16"/>
      <c r="L229" s="15"/>
      <c r="M229" s="63"/>
      <c r="N229" s="17"/>
      <c r="O229" s="16"/>
      <c r="P229" s="47"/>
      <c r="Q229" s="152">
        <f t="shared" si="24"/>
        <v>0</v>
      </c>
      <c r="R229" s="152">
        <f t="shared" si="25"/>
        <v>0</v>
      </c>
      <c r="S229" s="152">
        <f t="shared" si="26"/>
        <v>0</v>
      </c>
      <c r="T229" s="18">
        <f t="shared" si="27"/>
        <v>0</v>
      </c>
    </row>
    <row r="230" spans="2:20" x14ac:dyDescent="0.25">
      <c r="B230" s="158" t="s">
        <v>426</v>
      </c>
      <c r="C230" s="159" t="s">
        <v>427</v>
      </c>
      <c r="D230" s="39" t="s">
        <v>15</v>
      </c>
      <c r="E230" s="45" t="s">
        <v>200</v>
      </c>
      <c r="F230" s="175">
        <v>45749</v>
      </c>
      <c r="G230" s="154">
        <f>8.5*0.98095843</f>
        <v>8.338146655000001</v>
      </c>
      <c r="H230" s="15"/>
      <c r="I230" s="16"/>
      <c r="J230" s="15"/>
      <c r="K230" s="16"/>
      <c r="L230" s="15"/>
      <c r="M230" s="63"/>
      <c r="N230" s="17"/>
      <c r="O230" s="16"/>
      <c r="P230" s="47"/>
      <c r="Q230" s="152">
        <f t="shared" si="24"/>
        <v>0</v>
      </c>
      <c r="R230" s="152">
        <f t="shared" si="25"/>
        <v>8.338146655000001</v>
      </c>
      <c r="S230" s="152">
        <f t="shared" si="26"/>
        <v>8.338146655000001</v>
      </c>
      <c r="T230" s="18">
        <f t="shared" si="27"/>
        <v>8.338146655000001</v>
      </c>
    </row>
    <row r="231" spans="2:20" x14ac:dyDescent="0.25">
      <c r="B231" s="158" t="s">
        <v>838</v>
      </c>
      <c r="C231" s="159" t="s">
        <v>839</v>
      </c>
      <c r="D231" s="39" t="s">
        <v>15</v>
      </c>
      <c r="E231" s="45" t="s">
        <v>200</v>
      </c>
      <c r="F231" s="15">
        <v>45755</v>
      </c>
      <c r="G231" s="16">
        <v>8</v>
      </c>
      <c r="H231" s="15"/>
      <c r="I231" s="16"/>
      <c r="J231" s="15"/>
      <c r="K231" s="16"/>
      <c r="L231" s="15"/>
      <c r="M231" s="63"/>
      <c r="N231" s="17"/>
      <c r="O231" s="16"/>
      <c r="P231" s="47"/>
      <c r="Q231" s="152">
        <f t="shared" si="24"/>
        <v>0</v>
      </c>
      <c r="R231" s="152">
        <f t="shared" si="25"/>
        <v>8</v>
      </c>
      <c r="S231" s="152">
        <f t="shared" si="26"/>
        <v>8</v>
      </c>
      <c r="T231" s="18">
        <f t="shared" si="27"/>
        <v>8</v>
      </c>
    </row>
    <row r="232" spans="2:20" x14ac:dyDescent="0.25">
      <c r="B232" s="158" t="s">
        <v>842</v>
      </c>
      <c r="C232" s="159" t="s">
        <v>843</v>
      </c>
      <c r="D232" s="39" t="s">
        <v>15</v>
      </c>
      <c r="E232" s="45" t="s">
        <v>200</v>
      </c>
      <c r="F232" s="15">
        <v>45749</v>
      </c>
      <c r="G232" s="16">
        <v>7.75</v>
      </c>
      <c r="H232" s="15"/>
      <c r="I232" s="16"/>
      <c r="J232" s="15"/>
      <c r="K232" s="16"/>
      <c r="L232" s="15"/>
      <c r="M232" s="63"/>
      <c r="N232" s="17"/>
      <c r="O232" s="16"/>
      <c r="P232" s="47"/>
      <c r="Q232" s="152">
        <f t="shared" si="24"/>
        <v>0</v>
      </c>
      <c r="R232" s="152">
        <f t="shared" si="25"/>
        <v>7.75</v>
      </c>
      <c r="S232" s="152">
        <f t="shared" si="26"/>
        <v>7.75</v>
      </c>
      <c r="T232" s="18">
        <f t="shared" si="27"/>
        <v>7.75</v>
      </c>
    </row>
    <row r="233" spans="2:20" x14ac:dyDescent="0.25">
      <c r="B233" s="158" t="s">
        <v>430</v>
      </c>
      <c r="C233" s="159" t="s">
        <v>953</v>
      </c>
      <c r="D233" s="39" t="s">
        <v>941</v>
      </c>
      <c r="E233" s="45" t="s">
        <v>16</v>
      </c>
      <c r="F233" s="15">
        <v>45677</v>
      </c>
      <c r="G233" s="16">
        <v>0.1162</v>
      </c>
      <c r="H233" s="15">
        <v>45831</v>
      </c>
      <c r="I233" s="16">
        <v>0.17430000000000001</v>
      </c>
      <c r="J233" s="15"/>
      <c r="K233" s="16"/>
      <c r="L233" s="15"/>
      <c r="M233" s="63"/>
      <c r="N233" s="17"/>
      <c r="O233" s="16"/>
      <c r="P233" s="47"/>
      <c r="Q233" s="152">
        <f t="shared" si="24"/>
        <v>0.1162</v>
      </c>
      <c r="R233" s="152">
        <f t="shared" si="25"/>
        <v>0.1162</v>
      </c>
      <c r="S233" s="152">
        <f t="shared" si="26"/>
        <v>0.29049999999999998</v>
      </c>
      <c r="T233" s="18">
        <f t="shared" si="27"/>
        <v>0.29049999999999998</v>
      </c>
    </row>
    <row r="234" spans="2:20" x14ac:dyDescent="0.25">
      <c r="B234" s="117" t="s">
        <v>435</v>
      </c>
      <c r="C234" s="136" t="s">
        <v>436</v>
      </c>
      <c r="D234" s="14" t="s">
        <v>24</v>
      </c>
      <c r="E234" s="14" t="s">
        <v>16</v>
      </c>
      <c r="F234" s="15">
        <v>45803</v>
      </c>
      <c r="G234" s="16">
        <v>1.0900000000000001</v>
      </c>
      <c r="H234" s="15">
        <v>45937</v>
      </c>
      <c r="I234" s="16">
        <v>0.61</v>
      </c>
      <c r="J234" s="15"/>
      <c r="K234" s="16"/>
      <c r="L234" s="15"/>
      <c r="M234" s="63"/>
      <c r="N234" s="17"/>
      <c r="O234" s="16"/>
      <c r="P234" s="16"/>
      <c r="Q234" s="152">
        <f t="shared" si="24"/>
        <v>0</v>
      </c>
      <c r="R234" s="152">
        <f t="shared" si="25"/>
        <v>1.0900000000000001</v>
      </c>
      <c r="S234" s="152">
        <f t="shared" si="26"/>
        <v>1.0900000000000001</v>
      </c>
      <c r="T234" s="18">
        <f t="shared" si="27"/>
        <v>1.7000000000000002</v>
      </c>
    </row>
    <row r="235" spans="2:20" x14ac:dyDescent="0.25">
      <c r="B235" s="117" t="s">
        <v>439</v>
      </c>
      <c r="C235" s="136" t="s">
        <v>440</v>
      </c>
      <c r="D235" s="14" t="s">
        <v>27</v>
      </c>
      <c r="E235" s="14" t="s">
        <v>16</v>
      </c>
      <c r="F235" s="15"/>
      <c r="G235" s="16"/>
      <c r="H235" s="15"/>
      <c r="I235" s="16"/>
      <c r="J235" s="15"/>
      <c r="K235" s="16"/>
      <c r="L235" s="15"/>
      <c r="M235" s="63"/>
      <c r="N235" s="17"/>
      <c r="O235" s="16"/>
      <c r="P235" s="16"/>
      <c r="Q235" s="152">
        <f t="shared" si="24"/>
        <v>0</v>
      </c>
      <c r="R235" s="152">
        <f t="shared" si="25"/>
        <v>0</v>
      </c>
      <c r="S235" s="152">
        <f t="shared" si="26"/>
        <v>0</v>
      </c>
      <c r="T235" s="18">
        <f t="shared" si="27"/>
        <v>0</v>
      </c>
    </row>
    <row r="236" spans="2:20" x14ac:dyDescent="0.25">
      <c r="B236" s="117" t="s">
        <v>445</v>
      </c>
      <c r="C236" s="136" t="s">
        <v>446</v>
      </c>
      <c r="D236" s="14" t="s">
        <v>15</v>
      </c>
      <c r="E236" s="14" t="s">
        <v>761</v>
      </c>
      <c r="F236" s="15">
        <v>45659</v>
      </c>
      <c r="G236" s="16">
        <v>21.2</v>
      </c>
      <c r="H236" s="15">
        <v>45862</v>
      </c>
      <c r="I236" s="16">
        <v>43</v>
      </c>
      <c r="J236" s="15">
        <v>45995</v>
      </c>
      <c r="K236" s="16">
        <v>21.4</v>
      </c>
      <c r="L236" s="15"/>
      <c r="M236" s="63"/>
      <c r="N236" s="17"/>
      <c r="O236" s="16"/>
      <c r="P236" s="16"/>
      <c r="Q236" s="152">
        <f t="shared" si="24"/>
        <v>21.2</v>
      </c>
      <c r="R236" s="152">
        <f t="shared" si="25"/>
        <v>21.2</v>
      </c>
      <c r="S236" s="152">
        <f t="shared" si="26"/>
        <v>64.2</v>
      </c>
      <c r="T236" s="18">
        <f t="shared" si="27"/>
        <v>85.6</v>
      </c>
    </row>
    <row r="237" spans="2:20" x14ac:dyDescent="0.25">
      <c r="B237" s="117" t="s">
        <v>447</v>
      </c>
      <c r="C237" s="136" t="s">
        <v>448</v>
      </c>
      <c r="D237" s="14" t="s">
        <v>15</v>
      </c>
      <c r="E237" s="14" t="s">
        <v>56</v>
      </c>
      <c r="F237" s="15">
        <v>45743</v>
      </c>
      <c r="G237" s="16">
        <v>0.28000000000000003</v>
      </c>
      <c r="H237" s="15">
        <v>45876</v>
      </c>
      <c r="I237" s="16">
        <v>0.123</v>
      </c>
      <c r="J237" s="15"/>
      <c r="K237" s="16"/>
      <c r="L237" s="15"/>
      <c r="M237" s="63"/>
      <c r="N237" s="17"/>
      <c r="O237" s="16"/>
      <c r="P237" s="16"/>
      <c r="Q237" s="152">
        <f t="shared" si="24"/>
        <v>0</v>
      </c>
      <c r="R237" s="152">
        <f t="shared" si="25"/>
        <v>0.28000000000000003</v>
      </c>
      <c r="S237" s="152">
        <f t="shared" si="26"/>
        <v>0.40300000000000002</v>
      </c>
      <c r="T237" s="18">
        <f t="shared" si="27"/>
        <v>0.40300000000000002</v>
      </c>
    </row>
    <row r="238" spans="2:20" x14ac:dyDescent="0.25">
      <c r="B238" s="117" t="s">
        <v>733</v>
      </c>
      <c r="C238" s="136" t="s">
        <v>954</v>
      </c>
      <c r="D238" s="14" t="s">
        <v>941</v>
      </c>
      <c r="E238" s="14" t="s">
        <v>16</v>
      </c>
      <c r="F238" s="15">
        <v>45769</v>
      </c>
      <c r="G238" s="16">
        <v>0.68</v>
      </c>
      <c r="H238" s="15"/>
      <c r="I238" s="16"/>
      <c r="J238" s="15"/>
      <c r="K238" s="16"/>
      <c r="L238" s="15"/>
      <c r="M238" s="63"/>
      <c r="N238" s="17"/>
      <c r="O238" s="16"/>
      <c r="P238" s="16"/>
      <c r="Q238" s="152">
        <f t="shared" si="24"/>
        <v>0</v>
      </c>
      <c r="R238" s="152">
        <f t="shared" si="25"/>
        <v>0.68</v>
      </c>
      <c r="S238" s="152">
        <f t="shared" si="26"/>
        <v>0.68</v>
      </c>
      <c r="T238" s="18">
        <f t="shared" si="27"/>
        <v>0.68</v>
      </c>
    </row>
    <row r="239" spans="2:20" x14ac:dyDescent="0.25">
      <c r="B239" s="117" t="s">
        <v>733</v>
      </c>
      <c r="C239" s="136" t="s">
        <v>362</v>
      </c>
      <c r="D239" s="14" t="s">
        <v>24</v>
      </c>
      <c r="E239" s="14" t="s">
        <v>16</v>
      </c>
      <c r="F239" s="15">
        <v>45769</v>
      </c>
      <c r="G239" s="16">
        <v>0.68</v>
      </c>
      <c r="H239" s="15"/>
      <c r="I239" s="16"/>
      <c r="J239" s="15"/>
      <c r="K239" s="16"/>
      <c r="L239" s="15"/>
      <c r="M239" s="63"/>
      <c r="N239" s="17"/>
      <c r="O239" s="16"/>
      <c r="P239" s="16"/>
      <c r="Q239" s="152">
        <f t="shared" si="24"/>
        <v>0</v>
      </c>
      <c r="R239" s="152">
        <f t="shared" si="25"/>
        <v>0.68</v>
      </c>
      <c r="S239" s="152">
        <f t="shared" si="26"/>
        <v>0.68</v>
      </c>
      <c r="T239" s="18">
        <f t="shared" si="27"/>
        <v>0.68</v>
      </c>
    </row>
    <row r="240" spans="2:20" x14ac:dyDescent="0.25">
      <c r="B240" s="117" t="s">
        <v>451</v>
      </c>
      <c r="C240" s="136" t="s">
        <v>452</v>
      </c>
      <c r="D240" s="14" t="s">
        <v>15</v>
      </c>
      <c r="E240" s="14" t="s">
        <v>56</v>
      </c>
      <c r="F240" s="15">
        <v>45740</v>
      </c>
      <c r="G240" s="16">
        <v>0.09</v>
      </c>
      <c r="H240" s="15">
        <v>45831</v>
      </c>
      <c r="I240" s="16">
        <v>0.09</v>
      </c>
      <c r="J240" s="15">
        <v>45922</v>
      </c>
      <c r="K240" s="16">
        <v>0.09</v>
      </c>
      <c r="L240" s="15">
        <v>46006</v>
      </c>
      <c r="M240" s="63">
        <v>0.09</v>
      </c>
      <c r="N240" s="17"/>
      <c r="O240" s="16"/>
      <c r="P240" s="16"/>
      <c r="Q240" s="152">
        <f t="shared" si="24"/>
        <v>0</v>
      </c>
      <c r="R240" s="152">
        <f t="shared" si="25"/>
        <v>0.09</v>
      </c>
      <c r="S240" s="152">
        <f t="shared" si="26"/>
        <v>0.18</v>
      </c>
      <c r="T240" s="18">
        <f t="shared" si="27"/>
        <v>0.36</v>
      </c>
    </row>
    <row r="241" spans="2:20" x14ac:dyDescent="0.25">
      <c r="B241" s="117" t="s">
        <v>923</v>
      </c>
      <c r="C241" s="136" t="s">
        <v>924</v>
      </c>
      <c r="D241" s="14" t="s">
        <v>755</v>
      </c>
      <c r="E241" s="14" t="s">
        <v>475</v>
      </c>
      <c r="F241" s="15">
        <v>45757</v>
      </c>
      <c r="G241" s="16">
        <v>4.7</v>
      </c>
      <c r="H241" s="15"/>
      <c r="I241" s="16"/>
      <c r="J241" s="15"/>
      <c r="K241" s="16"/>
      <c r="L241" s="15"/>
      <c r="M241" s="63"/>
      <c r="N241" s="17"/>
      <c r="O241" s="16"/>
      <c r="P241" s="16"/>
      <c r="Q241" s="152">
        <f t="shared" si="24"/>
        <v>0</v>
      </c>
      <c r="R241" s="152">
        <f t="shared" si="25"/>
        <v>4.7</v>
      </c>
      <c r="S241" s="152">
        <f t="shared" si="26"/>
        <v>4.7</v>
      </c>
      <c r="T241" s="18">
        <f t="shared" si="27"/>
        <v>4.7</v>
      </c>
    </row>
    <row r="242" spans="2:20" x14ac:dyDescent="0.25">
      <c r="B242" s="117" t="s">
        <v>853</v>
      </c>
      <c r="C242" s="136" t="s">
        <v>854</v>
      </c>
      <c r="D242" s="14" t="s">
        <v>15</v>
      </c>
      <c r="E242" s="14" t="s">
        <v>200</v>
      </c>
      <c r="F242" s="15">
        <v>45754</v>
      </c>
      <c r="G242" s="16">
        <v>3</v>
      </c>
      <c r="H242" s="15"/>
      <c r="I242" s="16"/>
      <c r="J242" s="15"/>
      <c r="K242" s="16"/>
      <c r="L242" s="15"/>
      <c r="M242" s="63"/>
      <c r="N242" s="17"/>
      <c r="O242" s="16"/>
      <c r="P242" s="16"/>
      <c r="Q242" s="152">
        <f t="shared" si="24"/>
        <v>0</v>
      </c>
      <c r="R242" s="152">
        <f t="shared" si="25"/>
        <v>3</v>
      </c>
      <c r="S242" s="152">
        <f t="shared" si="26"/>
        <v>3</v>
      </c>
      <c r="T242" s="18">
        <f t="shared" si="27"/>
        <v>3</v>
      </c>
    </row>
    <row r="243" spans="2:20" x14ac:dyDescent="0.25">
      <c r="B243" s="117" t="s">
        <v>455</v>
      </c>
      <c r="C243" s="136" t="s">
        <v>456</v>
      </c>
      <c r="D243" s="14" t="s">
        <v>15</v>
      </c>
      <c r="E243" s="14" t="s">
        <v>200</v>
      </c>
      <c r="F243" s="175">
        <v>45743</v>
      </c>
      <c r="G243" s="154">
        <f>7.5*0.93975904</f>
        <v>7.0481927999999998</v>
      </c>
      <c r="H243" s="15"/>
      <c r="I243" s="16"/>
      <c r="J243" s="15"/>
      <c r="K243" s="16"/>
      <c r="L243" s="15"/>
      <c r="M243" s="63"/>
      <c r="N243" s="17"/>
      <c r="O243" s="16"/>
      <c r="P243" s="16"/>
      <c r="Q243" s="152">
        <f t="shared" si="24"/>
        <v>0</v>
      </c>
      <c r="R243" s="152">
        <f t="shared" si="25"/>
        <v>7.0481927999999998</v>
      </c>
      <c r="S243" s="152">
        <f t="shared" si="26"/>
        <v>7.0481927999999998</v>
      </c>
      <c r="T243" s="18">
        <f t="shared" si="27"/>
        <v>7.0481927999999998</v>
      </c>
    </row>
    <row r="244" spans="2:20" x14ac:dyDescent="0.25">
      <c r="B244" s="117" t="s">
        <v>457</v>
      </c>
      <c r="C244" s="136" t="s">
        <v>458</v>
      </c>
      <c r="D244" s="14" t="s">
        <v>15</v>
      </c>
      <c r="E244" s="14" t="s">
        <v>200</v>
      </c>
      <c r="F244" s="15">
        <v>45743</v>
      </c>
      <c r="G244" s="16">
        <v>21.7</v>
      </c>
      <c r="H244" s="15"/>
      <c r="I244" s="16"/>
      <c r="J244" s="15"/>
      <c r="K244" s="16"/>
      <c r="L244" s="15"/>
      <c r="M244" s="63"/>
      <c r="N244" s="17"/>
      <c r="O244" s="16"/>
      <c r="P244" s="16"/>
      <c r="Q244" s="152">
        <f t="shared" si="24"/>
        <v>0</v>
      </c>
      <c r="R244" s="152">
        <f t="shared" si="25"/>
        <v>21.7</v>
      </c>
      <c r="S244" s="152">
        <f t="shared" si="26"/>
        <v>21.7</v>
      </c>
      <c r="T244" s="18">
        <f t="shared" si="27"/>
        <v>21.7</v>
      </c>
    </row>
    <row r="245" spans="2:20" x14ac:dyDescent="0.25">
      <c r="B245" s="117" t="s">
        <v>461</v>
      </c>
      <c r="C245" s="136" t="s">
        <v>462</v>
      </c>
      <c r="D245" s="14" t="s">
        <v>15</v>
      </c>
      <c r="E245" s="14" t="s">
        <v>21</v>
      </c>
      <c r="F245" s="15">
        <v>45762</v>
      </c>
      <c r="G245" s="16">
        <f>7.35/1.1377*0.9329</f>
        <v>6.0269095543640674</v>
      </c>
      <c r="H245" s="15"/>
      <c r="I245" s="16"/>
      <c r="J245" s="15"/>
      <c r="K245" s="16"/>
      <c r="L245" s="15"/>
      <c r="M245" s="63"/>
      <c r="N245" s="17"/>
      <c r="O245" s="16"/>
      <c r="P245" s="16"/>
      <c r="Q245" s="152">
        <f t="shared" si="24"/>
        <v>0</v>
      </c>
      <c r="R245" s="152">
        <f t="shared" si="25"/>
        <v>6.0269095543640674</v>
      </c>
      <c r="S245" s="152">
        <f t="shared" si="26"/>
        <v>6.0269095543640674</v>
      </c>
      <c r="T245" s="18">
        <f t="shared" si="27"/>
        <v>6.0269095543640674</v>
      </c>
    </row>
    <row r="246" spans="2:20" x14ac:dyDescent="0.25">
      <c r="B246" s="117" t="s">
        <v>463</v>
      </c>
      <c r="C246" s="136" t="s">
        <v>464</v>
      </c>
      <c r="D246" s="14" t="s">
        <v>15</v>
      </c>
      <c r="E246" s="14" t="s">
        <v>21</v>
      </c>
      <c r="F246" s="15">
        <v>45744</v>
      </c>
      <c r="G246" s="16">
        <v>22</v>
      </c>
      <c r="H246" s="15"/>
      <c r="I246" s="16"/>
      <c r="J246" s="15"/>
      <c r="K246" s="16"/>
      <c r="L246" s="15"/>
      <c r="M246" s="63"/>
      <c r="N246" s="17"/>
      <c r="O246" s="16"/>
      <c r="P246" s="16"/>
      <c r="Q246" s="152">
        <f t="shared" si="24"/>
        <v>0</v>
      </c>
      <c r="R246" s="152">
        <f t="shared" si="25"/>
        <v>22</v>
      </c>
      <c r="S246" s="152">
        <f t="shared" si="26"/>
        <v>22</v>
      </c>
      <c r="T246" s="18">
        <f t="shared" si="27"/>
        <v>22</v>
      </c>
    </row>
    <row r="247" spans="2:20" x14ac:dyDescent="0.25">
      <c r="B247" s="117" t="s">
        <v>467</v>
      </c>
      <c r="C247" s="136" t="s">
        <v>468</v>
      </c>
      <c r="D247" s="14" t="s">
        <v>15</v>
      </c>
      <c r="E247" s="14" t="s">
        <v>200</v>
      </c>
      <c r="F247" s="15">
        <v>45791</v>
      </c>
      <c r="G247" s="16">
        <v>3.2</v>
      </c>
      <c r="H247" s="15">
        <v>45939</v>
      </c>
      <c r="I247" s="16">
        <v>3.15</v>
      </c>
      <c r="J247" s="15"/>
      <c r="K247" s="16"/>
      <c r="L247" s="15"/>
      <c r="M247" s="63"/>
      <c r="N247" s="17"/>
      <c r="O247" s="16"/>
      <c r="P247" s="16"/>
      <c r="Q247" s="152">
        <f t="shared" si="24"/>
        <v>0</v>
      </c>
      <c r="R247" s="152">
        <f t="shared" si="25"/>
        <v>3.2</v>
      </c>
      <c r="S247" s="152">
        <f t="shared" si="26"/>
        <v>3.2</v>
      </c>
      <c r="T247" s="18">
        <f t="shared" si="27"/>
        <v>6.35</v>
      </c>
    </row>
    <row r="248" spans="2:20" x14ac:dyDescent="0.25">
      <c r="B248" s="117" t="s">
        <v>955</v>
      </c>
      <c r="C248" s="136" t="s">
        <v>956</v>
      </c>
      <c r="D248" s="14" t="s">
        <v>941</v>
      </c>
      <c r="E248" s="14" t="s">
        <v>16</v>
      </c>
      <c r="F248" s="15"/>
      <c r="G248" s="16"/>
      <c r="H248" s="15"/>
      <c r="I248" s="16"/>
      <c r="J248" s="15"/>
      <c r="K248" s="16"/>
      <c r="L248" s="15"/>
      <c r="M248" s="63"/>
      <c r="N248" s="17"/>
      <c r="O248" s="16"/>
      <c r="P248" s="16"/>
      <c r="Q248" s="152">
        <f t="shared" si="24"/>
        <v>0</v>
      </c>
      <c r="R248" s="152">
        <f t="shared" si="25"/>
        <v>0</v>
      </c>
      <c r="S248" s="152">
        <f t="shared" si="26"/>
        <v>0</v>
      </c>
      <c r="T248" s="18">
        <f t="shared" si="27"/>
        <v>0</v>
      </c>
    </row>
    <row r="249" spans="2:20" x14ac:dyDescent="0.25">
      <c r="B249" s="117" t="s">
        <v>471</v>
      </c>
      <c r="C249" s="136" t="s">
        <v>472</v>
      </c>
      <c r="D249" s="14" t="s">
        <v>15</v>
      </c>
      <c r="E249" s="14" t="s">
        <v>16</v>
      </c>
      <c r="F249" s="15">
        <v>45825</v>
      </c>
      <c r="G249" s="16">
        <v>0.15</v>
      </c>
      <c r="H249" s="15">
        <v>46007</v>
      </c>
      <c r="I249" s="16">
        <v>0.15</v>
      </c>
      <c r="J249" s="15"/>
      <c r="K249" s="16"/>
      <c r="L249" s="15"/>
      <c r="M249" s="63"/>
      <c r="N249" s="17"/>
      <c r="O249" s="16"/>
      <c r="P249" s="16"/>
      <c r="Q249" s="152">
        <f t="shared" si="24"/>
        <v>0</v>
      </c>
      <c r="R249" s="152">
        <f t="shared" si="25"/>
        <v>0.15</v>
      </c>
      <c r="S249" s="152">
        <f t="shared" si="26"/>
        <v>0.15</v>
      </c>
      <c r="T249" s="18">
        <f t="shared" si="27"/>
        <v>0.3</v>
      </c>
    </row>
    <row r="250" spans="2:20" x14ac:dyDescent="0.25">
      <c r="B250" s="117" t="s">
        <v>473</v>
      </c>
      <c r="C250" s="136" t="s">
        <v>669</v>
      </c>
      <c r="D250" s="14" t="s">
        <v>755</v>
      </c>
      <c r="E250" s="14" t="s">
        <v>475</v>
      </c>
      <c r="F250" s="15">
        <v>45799</v>
      </c>
      <c r="G250" s="16">
        <v>5</v>
      </c>
      <c r="H250" s="15">
        <v>45946</v>
      </c>
      <c r="I250" s="16">
        <v>4.5999999999999996</v>
      </c>
      <c r="J250" s="15"/>
      <c r="K250" s="16"/>
      <c r="L250" s="15"/>
      <c r="M250" s="63"/>
      <c r="N250" s="17"/>
      <c r="O250" s="16"/>
      <c r="P250" s="16"/>
      <c r="Q250" s="152">
        <f t="shared" si="24"/>
        <v>0</v>
      </c>
      <c r="R250" s="152">
        <f t="shared" si="25"/>
        <v>5</v>
      </c>
      <c r="S250" s="152">
        <f t="shared" si="26"/>
        <v>5</v>
      </c>
      <c r="T250" s="18">
        <f t="shared" si="27"/>
        <v>9.6</v>
      </c>
    </row>
    <row r="251" spans="2:20" x14ac:dyDescent="0.25">
      <c r="B251" s="117" t="s">
        <v>476</v>
      </c>
      <c r="C251" s="136" t="s">
        <v>477</v>
      </c>
      <c r="D251" s="14" t="s">
        <v>15</v>
      </c>
      <c r="E251" s="14" t="s">
        <v>200</v>
      </c>
      <c r="F251" s="15">
        <v>45694</v>
      </c>
      <c r="G251" s="16">
        <v>0.5</v>
      </c>
      <c r="H251" s="15">
        <v>45757</v>
      </c>
      <c r="I251" s="16">
        <v>0.5</v>
      </c>
      <c r="J251" s="15">
        <v>45868</v>
      </c>
      <c r="K251" s="16">
        <v>0.5</v>
      </c>
      <c r="L251" s="15">
        <v>45959</v>
      </c>
      <c r="M251" s="63">
        <v>0.5</v>
      </c>
      <c r="N251" s="17"/>
      <c r="O251" s="16"/>
      <c r="P251" s="16"/>
      <c r="Q251" s="152">
        <f t="shared" si="24"/>
        <v>0.5</v>
      </c>
      <c r="R251" s="152">
        <f t="shared" si="25"/>
        <v>1</v>
      </c>
      <c r="S251" s="152">
        <f t="shared" si="26"/>
        <v>1.5</v>
      </c>
      <c r="T251" s="18">
        <f t="shared" si="27"/>
        <v>2</v>
      </c>
    </row>
    <row r="252" spans="2:20" x14ac:dyDescent="0.25">
      <c r="B252" s="117" t="s">
        <v>957</v>
      </c>
      <c r="C252" s="136" t="s">
        <v>958</v>
      </c>
      <c r="D252" s="14" t="s">
        <v>941</v>
      </c>
      <c r="E252" s="14" t="s">
        <v>16</v>
      </c>
      <c r="F252" s="15">
        <v>45831</v>
      </c>
      <c r="G252" s="16">
        <v>0.27700000000000002</v>
      </c>
      <c r="H252" s="15">
        <v>45985</v>
      </c>
      <c r="I252" s="16">
        <v>0.1192</v>
      </c>
      <c r="J252" s="15"/>
      <c r="K252" s="16"/>
      <c r="L252" s="15"/>
      <c r="M252" s="63"/>
      <c r="N252" s="17"/>
      <c r="O252" s="16"/>
      <c r="P252" s="16"/>
      <c r="Q252" s="152">
        <f t="shared" si="24"/>
        <v>0</v>
      </c>
      <c r="R252" s="152">
        <f t="shared" si="25"/>
        <v>0</v>
      </c>
      <c r="S252" s="152">
        <f t="shared" si="26"/>
        <v>0.27700000000000002</v>
      </c>
      <c r="T252" s="18">
        <f t="shared" si="27"/>
        <v>0.3962</v>
      </c>
    </row>
    <row r="253" spans="2:20" x14ac:dyDescent="0.25">
      <c r="B253" s="117" t="s">
        <v>932</v>
      </c>
      <c r="C253" s="136" t="s">
        <v>933</v>
      </c>
      <c r="D253" s="14" t="s">
        <v>15</v>
      </c>
      <c r="E253" s="14" t="s">
        <v>56</v>
      </c>
      <c r="F253" s="15">
        <v>45715</v>
      </c>
      <c r="G253" s="16">
        <v>0.155</v>
      </c>
      <c r="H253" s="15">
        <v>45793</v>
      </c>
      <c r="I253" s="16">
        <v>0.155</v>
      </c>
      <c r="J253" s="15">
        <v>45862</v>
      </c>
      <c r="K253" s="16">
        <v>0.155</v>
      </c>
      <c r="L253" s="15">
        <v>45959</v>
      </c>
      <c r="M253" s="63">
        <v>0.155</v>
      </c>
      <c r="N253" s="17"/>
      <c r="O253" s="16"/>
      <c r="P253" s="16"/>
      <c r="Q253" s="152">
        <f t="shared" si="24"/>
        <v>0.155</v>
      </c>
      <c r="R253" s="152">
        <f t="shared" si="25"/>
        <v>0.31</v>
      </c>
      <c r="S253" s="152">
        <f t="shared" si="26"/>
        <v>0.46499999999999997</v>
      </c>
      <c r="T253" s="18">
        <f t="shared" si="27"/>
        <v>0.62</v>
      </c>
    </row>
    <row r="254" spans="2:20" x14ac:dyDescent="0.25">
      <c r="B254" s="117" t="s">
        <v>892</v>
      </c>
      <c r="C254" s="136" t="s">
        <v>893</v>
      </c>
      <c r="D254" s="14" t="s">
        <v>24</v>
      </c>
      <c r="E254" s="14" t="s">
        <v>16</v>
      </c>
      <c r="F254" s="15">
        <v>45797</v>
      </c>
      <c r="G254" s="16">
        <v>2.85</v>
      </c>
      <c r="H254" s="15">
        <v>45993</v>
      </c>
      <c r="I254" s="16">
        <v>0.95</v>
      </c>
      <c r="J254" s="15"/>
      <c r="K254" s="16"/>
      <c r="L254" s="15"/>
      <c r="M254" s="63"/>
      <c r="N254" s="17"/>
      <c r="O254" s="16"/>
      <c r="P254" s="16"/>
      <c r="Q254" s="152">
        <f t="shared" si="24"/>
        <v>0</v>
      </c>
      <c r="R254" s="152">
        <f t="shared" si="25"/>
        <v>2.85</v>
      </c>
      <c r="S254" s="152">
        <f t="shared" si="26"/>
        <v>2.85</v>
      </c>
      <c r="T254" s="18">
        <f t="shared" si="27"/>
        <v>3.8</v>
      </c>
    </row>
    <row r="255" spans="2:20" x14ac:dyDescent="0.25">
      <c r="B255" s="117" t="s">
        <v>480</v>
      </c>
      <c r="C255" s="136" t="s">
        <v>481</v>
      </c>
      <c r="D255" s="14" t="s">
        <v>237</v>
      </c>
      <c r="E255" s="14" t="s">
        <v>16</v>
      </c>
      <c r="F255" s="15">
        <v>45667</v>
      </c>
      <c r="G255" s="16">
        <v>0.14061000000000001</v>
      </c>
      <c r="H255" s="15">
        <v>45835</v>
      </c>
      <c r="I255" s="16">
        <v>0.10545</v>
      </c>
      <c r="J255" s="15"/>
      <c r="K255" s="16"/>
      <c r="L255" s="15"/>
      <c r="M255" s="63"/>
      <c r="N255" s="17"/>
      <c r="O255" s="16"/>
      <c r="P255" s="16"/>
      <c r="Q255" s="152">
        <f t="shared" si="24"/>
        <v>0.14061000000000001</v>
      </c>
      <c r="R255" s="152">
        <f t="shared" si="25"/>
        <v>0.14061000000000001</v>
      </c>
      <c r="S255" s="152">
        <f t="shared" si="26"/>
        <v>0.24606</v>
      </c>
      <c r="T255" s="18">
        <f t="shared" si="27"/>
        <v>0.24606</v>
      </c>
    </row>
    <row r="256" spans="2:20" x14ac:dyDescent="0.25">
      <c r="B256" s="117" t="s">
        <v>482</v>
      </c>
      <c r="C256" s="136" t="s">
        <v>483</v>
      </c>
      <c r="D256" s="14" t="s">
        <v>15</v>
      </c>
      <c r="E256" s="14" t="s">
        <v>21</v>
      </c>
      <c r="F256" s="15">
        <v>45800</v>
      </c>
      <c r="G256" s="16">
        <v>4.5</v>
      </c>
      <c r="H256" s="15"/>
      <c r="I256" s="16"/>
      <c r="J256" s="15"/>
      <c r="K256" s="16"/>
      <c r="L256" s="15"/>
      <c r="M256" s="63"/>
      <c r="N256" s="17"/>
      <c r="O256" s="16"/>
      <c r="P256" s="16"/>
      <c r="Q256" s="152">
        <f t="shared" si="24"/>
        <v>0</v>
      </c>
      <c r="R256" s="152">
        <f t="shared" si="25"/>
        <v>4.5</v>
      </c>
      <c r="S256" s="152">
        <f t="shared" si="26"/>
        <v>4.5</v>
      </c>
      <c r="T256" s="18">
        <f t="shared" si="27"/>
        <v>4.5</v>
      </c>
    </row>
    <row r="257" spans="2:20" x14ac:dyDescent="0.25">
      <c r="B257" s="117" t="s">
        <v>484</v>
      </c>
      <c r="C257" s="136" t="s">
        <v>485</v>
      </c>
      <c r="D257" s="14" t="s">
        <v>15</v>
      </c>
      <c r="E257" s="14" t="s">
        <v>16</v>
      </c>
      <c r="F257" s="15">
        <v>45691</v>
      </c>
      <c r="G257" s="16">
        <v>0.15</v>
      </c>
      <c r="H257" s="15"/>
      <c r="I257" s="16"/>
      <c r="J257" s="15"/>
      <c r="K257" s="16"/>
      <c r="L257" s="15"/>
      <c r="M257" s="63"/>
      <c r="N257" s="17"/>
      <c r="O257" s="16"/>
      <c r="P257" s="16"/>
      <c r="Q257" s="152"/>
      <c r="R257" s="152"/>
      <c r="S257" s="152"/>
      <c r="T257" s="18">
        <f t="shared" si="27"/>
        <v>0.15</v>
      </c>
    </row>
    <row r="258" spans="2:20" x14ac:dyDescent="0.25">
      <c r="B258" s="117" t="s">
        <v>776</v>
      </c>
      <c r="C258" s="136" t="s">
        <v>489</v>
      </c>
      <c r="D258" s="14" t="s">
        <v>24</v>
      </c>
      <c r="E258" s="14" t="s">
        <v>16</v>
      </c>
      <c r="F258" s="15">
        <v>45659</v>
      </c>
      <c r="G258" s="16">
        <v>0.79</v>
      </c>
      <c r="H258" s="15">
        <v>45742</v>
      </c>
      <c r="I258" s="16">
        <v>0.79</v>
      </c>
      <c r="J258" s="15">
        <v>45827</v>
      </c>
      <c r="K258" s="16">
        <v>0.85</v>
      </c>
      <c r="L258" s="15">
        <v>45931</v>
      </c>
      <c r="M258" s="63">
        <v>0.85</v>
      </c>
      <c r="N258" s="17"/>
      <c r="O258" s="16"/>
      <c r="P258" s="16"/>
      <c r="Q258" s="152">
        <f t="shared" si="24"/>
        <v>0.79</v>
      </c>
      <c r="R258" s="152">
        <f t="shared" si="25"/>
        <v>2.4300000000000002</v>
      </c>
      <c r="S258" s="152">
        <f t="shared" si="26"/>
        <v>2.4300000000000002</v>
      </c>
      <c r="T258" s="18">
        <f t="shared" si="27"/>
        <v>3.2800000000000002</v>
      </c>
    </row>
    <row r="259" spans="2:20" x14ac:dyDescent="0.25">
      <c r="B259" s="117" t="s">
        <v>904</v>
      </c>
      <c r="C259" s="136" t="s">
        <v>905</v>
      </c>
      <c r="D259" s="14" t="s">
        <v>15</v>
      </c>
      <c r="E259" s="14" t="s">
        <v>200</v>
      </c>
      <c r="F259" s="15">
        <v>45772</v>
      </c>
      <c r="G259" s="16">
        <v>7.5</v>
      </c>
      <c r="H259" s="15"/>
      <c r="I259" s="16"/>
      <c r="J259" s="15"/>
      <c r="K259" s="16"/>
      <c r="L259" s="15"/>
      <c r="M259" s="63"/>
      <c r="N259" s="17"/>
      <c r="O259" s="16"/>
      <c r="P259" s="16"/>
      <c r="Q259" s="152">
        <f t="shared" si="24"/>
        <v>0</v>
      </c>
      <c r="R259" s="152">
        <f t="shared" si="25"/>
        <v>7.5</v>
      </c>
      <c r="S259" s="152">
        <f t="shared" si="26"/>
        <v>7.5</v>
      </c>
      <c r="T259" s="18">
        <f t="shared" si="27"/>
        <v>7.5</v>
      </c>
    </row>
    <row r="260" spans="2:20" x14ac:dyDescent="0.25">
      <c r="B260" s="117" t="s">
        <v>492</v>
      </c>
      <c r="C260" s="136" t="s">
        <v>493</v>
      </c>
      <c r="D260" s="14" t="s">
        <v>15</v>
      </c>
      <c r="E260" s="14" t="s">
        <v>21</v>
      </c>
      <c r="F260" s="15">
        <v>45762</v>
      </c>
      <c r="G260" s="16">
        <f>0.45/1.1377*0.9329</f>
        <v>0.36899446251208579</v>
      </c>
      <c r="H260" s="15"/>
      <c r="I260" s="16"/>
      <c r="J260" s="15"/>
      <c r="K260" s="16"/>
      <c r="L260" s="15"/>
      <c r="M260" s="63"/>
      <c r="N260" s="17"/>
      <c r="O260" s="16"/>
      <c r="P260" s="16"/>
      <c r="Q260" s="152">
        <f t="shared" si="24"/>
        <v>0</v>
      </c>
      <c r="R260" s="152">
        <f t="shared" si="25"/>
        <v>0.36899446251208579</v>
      </c>
      <c r="S260" s="152">
        <f t="shared" si="26"/>
        <v>0.36899446251208579</v>
      </c>
      <c r="T260" s="18">
        <f t="shared" si="27"/>
        <v>0.36899446251208579</v>
      </c>
    </row>
    <row r="261" spans="2:20" x14ac:dyDescent="0.25">
      <c r="B261" s="117" t="s">
        <v>494</v>
      </c>
      <c r="C261" s="136" t="s">
        <v>495</v>
      </c>
      <c r="D261" s="14" t="s">
        <v>27</v>
      </c>
      <c r="E261" s="14" t="s">
        <v>16</v>
      </c>
      <c r="F261" s="15">
        <v>45772</v>
      </c>
      <c r="G261" s="16">
        <v>1.39</v>
      </c>
      <c r="H261" s="15"/>
      <c r="I261" s="16"/>
      <c r="J261" s="15"/>
      <c r="K261" s="16"/>
      <c r="L261" s="15"/>
      <c r="M261" s="63"/>
      <c r="N261" s="17"/>
      <c r="O261" s="16"/>
      <c r="P261" s="16"/>
      <c r="Q261" s="152">
        <f t="shared" si="24"/>
        <v>0</v>
      </c>
      <c r="R261" s="152">
        <f t="shared" si="25"/>
        <v>1.39</v>
      </c>
      <c r="S261" s="152">
        <f t="shared" si="26"/>
        <v>1.39</v>
      </c>
      <c r="T261" s="18">
        <f t="shared" si="27"/>
        <v>1.39</v>
      </c>
    </row>
    <row r="262" spans="2:20" x14ac:dyDescent="0.25">
      <c r="B262" s="117" t="s">
        <v>496</v>
      </c>
      <c r="C262" s="136" t="s">
        <v>497</v>
      </c>
      <c r="D262" s="14" t="s">
        <v>27</v>
      </c>
      <c r="E262" s="14" t="s">
        <v>16</v>
      </c>
      <c r="F262" s="15">
        <v>45775</v>
      </c>
      <c r="G262" s="16">
        <v>0.25</v>
      </c>
      <c r="H262" s="15"/>
      <c r="I262" s="16"/>
      <c r="J262" s="15"/>
      <c r="K262" s="16"/>
      <c r="L262" s="15"/>
      <c r="M262" s="63"/>
      <c r="N262" s="17"/>
      <c r="O262" s="16"/>
      <c r="P262" s="16"/>
      <c r="Q262" s="152">
        <f t="shared" si="24"/>
        <v>0</v>
      </c>
      <c r="R262" s="152">
        <f t="shared" si="25"/>
        <v>0.25</v>
      </c>
      <c r="S262" s="152">
        <f t="shared" si="26"/>
        <v>0.25</v>
      </c>
      <c r="T262" s="18">
        <f t="shared" si="27"/>
        <v>0.25</v>
      </c>
    </row>
    <row r="263" spans="2:20" x14ac:dyDescent="0.25">
      <c r="B263" s="117" t="s">
        <v>622</v>
      </c>
      <c r="C263" s="136" t="s">
        <v>499</v>
      </c>
      <c r="D263" s="14" t="s">
        <v>15</v>
      </c>
      <c r="E263" s="14" t="s">
        <v>16</v>
      </c>
      <c r="F263" s="15">
        <v>45785</v>
      </c>
      <c r="G263" s="16">
        <v>3.5</v>
      </c>
      <c r="H263" s="15"/>
      <c r="I263" s="16"/>
      <c r="J263" s="15"/>
      <c r="K263" s="16"/>
      <c r="L263" s="15"/>
      <c r="M263" s="63"/>
      <c r="N263" s="17"/>
      <c r="O263" s="16"/>
      <c r="P263" s="16"/>
      <c r="Q263" s="152">
        <f t="shared" si="24"/>
        <v>0</v>
      </c>
      <c r="R263" s="152">
        <f t="shared" si="25"/>
        <v>3.5</v>
      </c>
      <c r="S263" s="152">
        <f t="shared" si="26"/>
        <v>3.5</v>
      </c>
      <c r="T263" s="18">
        <f t="shared" si="27"/>
        <v>3.5</v>
      </c>
    </row>
    <row r="264" spans="2:20" x14ac:dyDescent="0.25">
      <c r="B264" s="117" t="s">
        <v>959</v>
      </c>
      <c r="C264" s="136" t="s">
        <v>960</v>
      </c>
      <c r="D264" s="14" t="s">
        <v>941</v>
      </c>
      <c r="E264" s="14" t="s">
        <v>16</v>
      </c>
      <c r="F264" s="15">
        <v>45769</v>
      </c>
      <c r="G264" s="16">
        <v>1.4763999999999999</v>
      </c>
      <c r="H264" s="15">
        <v>45985</v>
      </c>
      <c r="I264" s="16">
        <v>1.4281999999999999</v>
      </c>
      <c r="J264" s="15"/>
      <c r="K264" s="16"/>
      <c r="L264" s="15"/>
      <c r="M264" s="63"/>
      <c r="N264" s="17"/>
      <c r="O264" s="16"/>
      <c r="P264" s="16"/>
      <c r="Q264" s="152">
        <f t="shared" si="24"/>
        <v>0</v>
      </c>
      <c r="R264" s="152">
        <f t="shared" si="25"/>
        <v>1.4763999999999999</v>
      </c>
      <c r="S264" s="152">
        <f t="shared" si="26"/>
        <v>1.4763999999999999</v>
      </c>
      <c r="T264" s="18">
        <f t="shared" si="27"/>
        <v>2.9045999999999998</v>
      </c>
    </row>
    <row r="265" spans="2:20" x14ac:dyDescent="0.25">
      <c r="B265" s="117" t="s">
        <v>504</v>
      </c>
      <c r="C265" s="136" t="s">
        <v>970</v>
      </c>
      <c r="D265" s="14" t="s">
        <v>15</v>
      </c>
      <c r="E265" s="14" t="s">
        <v>16</v>
      </c>
      <c r="F265" s="15"/>
      <c r="G265" s="16"/>
      <c r="H265" s="15"/>
      <c r="I265" s="16"/>
      <c r="J265" s="15"/>
      <c r="K265" s="16"/>
      <c r="L265" s="15"/>
      <c r="M265" s="63"/>
      <c r="N265" s="17"/>
      <c r="O265" s="16"/>
      <c r="P265" s="16"/>
      <c r="Q265" s="152">
        <f t="shared" si="24"/>
        <v>0</v>
      </c>
      <c r="R265" s="152">
        <f t="shared" si="25"/>
        <v>0</v>
      </c>
      <c r="S265" s="152">
        <f t="shared" si="26"/>
        <v>0</v>
      </c>
      <c r="T265" s="18">
        <f t="shared" si="27"/>
        <v>0</v>
      </c>
    </row>
    <row r="266" spans="2:20" x14ac:dyDescent="0.25">
      <c r="B266" s="117" t="s">
        <v>692</v>
      </c>
      <c r="C266" s="136" t="s">
        <v>693</v>
      </c>
      <c r="D266" s="14" t="s">
        <v>15</v>
      </c>
      <c r="E266" s="14" t="s">
        <v>16</v>
      </c>
      <c r="F266" s="15">
        <v>45820</v>
      </c>
      <c r="G266" s="16">
        <v>0.6</v>
      </c>
      <c r="H266" s="15"/>
      <c r="I266" s="16"/>
      <c r="J266" s="15"/>
      <c r="K266" s="16"/>
      <c r="L266" s="15"/>
      <c r="M266" s="63"/>
      <c r="N266" s="17"/>
      <c r="O266" s="16"/>
      <c r="P266" s="143"/>
      <c r="Q266" s="152">
        <f t="shared" si="24"/>
        <v>0</v>
      </c>
      <c r="R266" s="152">
        <f t="shared" si="25"/>
        <v>0.6</v>
      </c>
      <c r="S266" s="152">
        <f t="shared" si="26"/>
        <v>0.6</v>
      </c>
      <c r="T266" s="18">
        <f t="shared" si="27"/>
        <v>0.6</v>
      </c>
    </row>
    <row r="267" spans="2:20" x14ac:dyDescent="0.25">
      <c r="B267" s="117" t="s">
        <v>510</v>
      </c>
      <c r="C267" s="136" t="s">
        <v>511</v>
      </c>
      <c r="D267" s="14" t="s">
        <v>15</v>
      </c>
      <c r="E267" s="14" t="s">
        <v>761</v>
      </c>
      <c r="F267" s="15">
        <v>45827</v>
      </c>
      <c r="G267" s="16">
        <v>34.57</v>
      </c>
      <c r="H267" s="15">
        <v>46009</v>
      </c>
      <c r="I267" s="16">
        <v>17.88</v>
      </c>
      <c r="J267" s="15"/>
      <c r="K267" s="16"/>
      <c r="L267" s="15"/>
      <c r="M267" s="63"/>
      <c r="N267" s="17"/>
      <c r="O267" s="16"/>
      <c r="P267" s="16"/>
      <c r="Q267" s="152">
        <f t="shared" si="24"/>
        <v>0</v>
      </c>
      <c r="R267" s="152">
        <f t="shared" si="25"/>
        <v>34.57</v>
      </c>
      <c r="S267" s="152">
        <f t="shared" si="26"/>
        <v>34.57</v>
      </c>
      <c r="T267" s="18">
        <f t="shared" si="27"/>
        <v>52.45</v>
      </c>
    </row>
    <row r="268" spans="2:20" x14ac:dyDescent="0.25">
      <c r="B268" s="117" t="s">
        <v>794</v>
      </c>
      <c r="C268" s="136" t="s">
        <v>795</v>
      </c>
      <c r="D268" s="14" t="s">
        <v>15</v>
      </c>
      <c r="E268" s="14" t="s">
        <v>16</v>
      </c>
      <c r="F268" s="15">
        <v>45798</v>
      </c>
      <c r="G268" s="16">
        <v>0.28000000000000003</v>
      </c>
      <c r="H268" s="15">
        <v>45936</v>
      </c>
      <c r="I268" s="16">
        <v>0.24</v>
      </c>
      <c r="J268" s="15"/>
      <c r="K268" s="16"/>
      <c r="L268" s="15"/>
      <c r="M268" s="63"/>
      <c r="N268" s="17"/>
      <c r="O268" s="16"/>
      <c r="P268" s="143"/>
      <c r="Q268" s="152">
        <f t="shared" si="24"/>
        <v>0</v>
      </c>
      <c r="R268" s="152">
        <f t="shared" si="25"/>
        <v>0.28000000000000003</v>
      </c>
      <c r="S268" s="152">
        <f t="shared" si="26"/>
        <v>0.28000000000000003</v>
      </c>
      <c r="T268" s="18">
        <f t="shared" si="27"/>
        <v>0.52</v>
      </c>
    </row>
    <row r="269" spans="2:20" x14ac:dyDescent="0.25">
      <c r="B269" s="117" t="s">
        <v>512</v>
      </c>
      <c r="C269" s="136" t="s">
        <v>513</v>
      </c>
      <c r="D269" s="14" t="s">
        <v>24</v>
      </c>
      <c r="E269" s="14" t="s">
        <v>16</v>
      </c>
      <c r="F269" s="15">
        <v>45803</v>
      </c>
      <c r="G269" s="16">
        <v>0.42</v>
      </c>
      <c r="H269" s="15"/>
      <c r="I269" s="16"/>
      <c r="J269" s="15"/>
      <c r="K269" s="16"/>
      <c r="L269" s="15"/>
      <c r="M269" s="63"/>
      <c r="N269" s="17"/>
      <c r="O269" s="16"/>
      <c r="P269" s="16"/>
      <c r="Q269" s="152">
        <f t="shared" si="24"/>
        <v>0</v>
      </c>
      <c r="R269" s="152">
        <f t="shared" si="25"/>
        <v>0.42</v>
      </c>
      <c r="S269" s="152">
        <f t="shared" si="26"/>
        <v>0.42</v>
      </c>
      <c r="T269" s="18">
        <f t="shared" si="27"/>
        <v>0.42</v>
      </c>
    </row>
    <row r="270" spans="2:20" x14ac:dyDescent="0.25">
      <c r="B270" s="117" t="s">
        <v>514</v>
      </c>
      <c r="C270" s="136" t="s">
        <v>515</v>
      </c>
      <c r="D270" s="14" t="s">
        <v>24</v>
      </c>
      <c r="E270" s="14" t="s">
        <v>16</v>
      </c>
      <c r="F270" s="15">
        <v>45803</v>
      </c>
      <c r="G270" s="16">
        <v>1.5</v>
      </c>
      <c r="H270" s="15"/>
      <c r="I270" s="16"/>
      <c r="J270" s="15"/>
      <c r="K270" s="16"/>
      <c r="L270" s="15"/>
      <c r="M270" s="63"/>
      <c r="N270" s="17"/>
      <c r="O270" s="16"/>
      <c r="P270" s="16"/>
      <c r="Q270" s="152">
        <f t="shared" si="24"/>
        <v>0</v>
      </c>
      <c r="R270" s="152">
        <f t="shared" si="25"/>
        <v>1.5</v>
      </c>
      <c r="S270" s="152">
        <f t="shared" si="26"/>
        <v>1.5</v>
      </c>
      <c r="T270" s="18">
        <f t="shared" si="27"/>
        <v>1.5</v>
      </c>
    </row>
    <row r="271" spans="2:20" x14ac:dyDescent="0.25">
      <c r="B271" s="117" t="s">
        <v>908</v>
      </c>
      <c r="C271" s="136" t="s">
        <v>328</v>
      </c>
      <c r="D271" s="14" t="s">
        <v>15</v>
      </c>
      <c r="E271" s="14" t="s">
        <v>16</v>
      </c>
      <c r="F271" s="15">
        <v>45743</v>
      </c>
      <c r="G271" s="16">
        <v>0.68</v>
      </c>
      <c r="H271" s="15">
        <v>45926</v>
      </c>
      <c r="I271" s="16">
        <v>0.67</v>
      </c>
      <c r="J271" s="15"/>
      <c r="K271" s="16"/>
      <c r="L271" s="15"/>
      <c r="M271" s="63"/>
      <c r="N271" s="17"/>
      <c r="O271" s="16"/>
      <c r="P271" s="16"/>
      <c r="Q271" s="152">
        <f t="shared" ref="Q271:Q288" si="28">IF(F271&lt;=Exp25Q1,G271,0)+IF(H271&lt;=Exp25Q1,I271,0)+IF(J271&lt;=Exp25Q1,K271,0)+IF(L271&lt;=Exp25Q1,M271,0)+IF(N271&lt;=Exp25Q1,O271,0)</f>
        <v>0</v>
      </c>
      <c r="R271" s="152">
        <f t="shared" ref="R271:R288" si="29">IF(F271&lt;=Exp25H1,G271,0)+IF(H271&lt;=Exp25H1,I271,0)+IF(J271&lt;=Exp25H1,K271,0)+IF(L271&lt;=Exp25H1,M271,0)+IF(N271&lt;=Exp25H1,O271,0)</f>
        <v>0.68</v>
      </c>
      <c r="S271" s="152">
        <f t="shared" ref="S271:S288" si="30">IF(F271&lt;=Exp25Q3,G271,0)+IF(H271&lt;=Exp25Q3,I271,0)+IF(J271&lt;=Exp25Q3,K271,0)+IF(L271&lt;=Exp25Q3,M271,0)+IF(N271&lt;=Exp25Q3,O271,0)</f>
        <v>0.68</v>
      </c>
      <c r="T271" s="18">
        <f t="shared" ref="T271:T288" si="31">G271+I271+K271+M271+O271</f>
        <v>1.35</v>
      </c>
    </row>
    <row r="272" spans="2:20" x14ac:dyDescent="0.25">
      <c r="B272" s="117" t="s">
        <v>925</v>
      </c>
      <c r="C272" s="136" t="s">
        <v>926</v>
      </c>
      <c r="D272" s="14" t="s">
        <v>755</v>
      </c>
      <c r="E272" s="14" t="s">
        <v>475</v>
      </c>
      <c r="F272" s="15">
        <v>45705</v>
      </c>
      <c r="G272" s="16">
        <v>1.2130000000000001</v>
      </c>
      <c r="H272" s="15">
        <v>45776</v>
      </c>
      <c r="I272" s="16">
        <v>1.2450000000000001</v>
      </c>
      <c r="J272" s="15">
        <v>45887</v>
      </c>
      <c r="K272" s="16">
        <v>1.22</v>
      </c>
      <c r="L272" s="15">
        <v>45978</v>
      </c>
      <c r="M272" s="63">
        <v>1.2110000000000001</v>
      </c>
      <c r="N272" s="17"/>
      <c r="O272" s="16"/>
      <c r="P272" s="16"/>
      <c r="Q272" s="152">
        <f t="shared" si="28"/>
        <v>1.2130000000000001</v>
      </c>
      <c r="R272" s="152">
        <f t="shared" si="29"/>
        <v>2.4580000000000002</v>
      </c>
      <c r="S272" s="152">
        <f t="shared" si="30"/>
        <v>3.6779999999999999</v>
      </c>
      <c r="T272" s="18">
        <f t="shared" si="31"/>
        <v>4.8890000000000002</v>
      </c>
    </row>
    <row r="273" spans="2:20" x14ac:dyDescent="0.25">
      <c r="B273" s="117" t="s">
        <v>968</v>
      </c>
      <c r="C273" s="136" t="s">
        <v>922</v>
      </c>
      <c r="D273" s="14" t="s">
        <v>755</v>
      </c>
      <c r="E273" s="14" t="s">
        <v>475</v>
      </c>
      <c r="F273" s="175">
        <v>45785</v>
      </c>
      <c r="G273" s="154">
        <f>2.25*0.9938674*0.93929463</f>
        <v>2.1004522014421396</v>
      </c>
      <c r="H273" s="15"/>
      <c r="I273" s="16"/>
      <c r="J273" s="15"/>
      <c r="K273" s="16"/>
      <c r="L273" s="15"/>
      <c r="M273" s="63"/>
      <c r="N273" s="17"/>
      <c r="O273" s="16"/>
      <c r="P273" s="16"/>
      <c r="Q273" s="152">
        <f>IF(F273&lt;=Exp25Q1,G273,0)+IF(H273&lt;=Exp25Q1,I273,0)+IF(J273&lt;=Exp25Q1,K273,0)+IF(L273&lt;=Exp25Q1,M273,0)+IF(N273&lt;=Exp25Q1,O273,0)</f>
        <v>0</v>
      </c>
      <c r="R273" s="152">
        <f>IF(F273&lt;=Exp25H1,G273,0)+IF(H273&lt;=Exp25H1,I273,0)+IF(J273&lt;=Exp25H1,K273,0)+IF(L273&lt;=Exp25H1,M273,0)+IF(N273&lt;=Exp25H1,O273,0)</f>
        <v>2.1004522014421396</v>
      </c>
      <c r="S273" s="152">
        <f>IF(F273&lt;=Exp25Q3,G273,0)+IF(H273&lt;=Exp25Q3,I273,0)+IF(J273&lt;=Exp25Q3,K273,0)+IF(L273&lt;=Exp25Q3,M273,0)+IF(N273&lt;=Exp25Q3,O273,0)</f>
        <v>2.1004522014421396</v>
      </c>
      <c r="T273" s="18">
        <f>G273+I273+K273+M273+O273</f>
        <v>2.1004522014421396</v>
      </c>
    </row>
    <row r="274" spans="2:20" x14ac:dyDescent="0.25">
      <c r="B274" s="117" t="s">
        <v>516</v>
      </c>
      <c r="C274" s="136" t="s">
        <v>517</v>
      </c>
      <c r="D274" s="14" t="s">
        <v>24</v>
      </c>
      <c r="E274" s="14" t="s">
        <v>16</v>
      </c>
      <c r="F274" s="15">
        <v>45789</v>
      </c>
      <c r="G274" s="16">
        <v>1.4</v>
      </c>
      <c r="H274" s="15"/>
      <c r="I274" s="16"/>
      <c r="J274" s="15"/>
      <c r="K274" s="16"/>
      <c r="L274" s="15"/>
      <c r="M274" s="63"/>
      <c r="N274" s="17"/>
      <c r="O274" s="16"/>
      <c r="P274" s="16"/>
      <c r="Q274" s="152">
        <f t="shared" si="28"/>
        <v>0</v>
      </c>
      <c r="R274" s="152">
        <f t="shared" si="29"/>
        <v>1.4</v>
      </c>
      <c r="S274" s="152">
        <f t="shared" si="30"/>
        <v>1.4</v>
      </c>
      <c r="T274" s="18">
        <f t="shared" si="31"/>
        <v>1.4</v>
      </c>
    </row>
    <row r="275" spans="2:20" x14ac:dyDescent="0.25">
      <c r="B275" s="117" t="s">
        <v>727</v>
      </c>
      <c r="C275" s="136" t="s">
        <v>728</v>
      </c>
      <c r="D275" s="14" t="s">
        <v>24</v>
      </c>
      <c r="E275" s="14" t="s">
        <v>16</v>
      </c>
      <c r="F275" s="15">
        <v>45776</v>
      </c>
      <c r="G275" s="16">
        <v>2</v>
      </c>
      <c r="H275" s="15"/>
      <c r="I275" s="16"/>
      <c r="J275" s="15"/>
      <c r="K275" s="16"/>
      <c r="L275" s="15"/>
      <c r="M275" s="63"/>
      <c r="N275" s="17"/>
      <c r="O275" s="16"/>
      <c r="P275" s="16"/>
      <c r="Q275" s="152">
        <f t="shared" si="28"/>
        <v>0</v>
      </c>
      <c r="R275" s="152">
        <f t="shared" si="29"/>
        <v>2</v>
      </c>
      <c r="S275" s="152">
        <f t="shared" si="30"/>
        <v>2</v>
      </c>
      <c r="T275" s="18">
        <f t="shared" si="31"/>
        <v>2</v>
      </c>
    </row>
    <row r="276" spans="2:20" x14ac:dyDescent="0.25">
      <c r="B276" s="117" t="s">
        <v>742</v>
      </c>
      <c r="C276" s="136" t="s">
        <v>743</v>
      </c>
      <c r="D276" s="14" t="s">
        <v>15</v>
      </c>
      <c r="E276" s="14" t="s">
        <v>16</v>
      </c>
      <c r="F276" s="15">
        <v>45803</v>
      </c>
      <c r="G276" s="16">
        <v>1.55</v>
      </c>
      <c r="H276" s="15"/>
      <c r="I276" s="16"/>
      <c r="J276" s="15"/>
      <c r="K276" s="16"/>
      <c r="L276" s="15"/>
      <c r="M276" s="63"/>
      <c r="N276" s="17"/>
      <c r="O276" s="16"/>
      <c r="P276" s="16"/>
      <c r="Q276" s="152">
        <f t="shared" si="28"/>
        <v>0</v>
      </c>
      <c r="R276" s="152">
        <f t="shared" si="29"/>
        <v>1.55</v>
      </c>
      <c r="S276" s="152">
        <f t="shared" si="30"/>
        <v>1.55</v>
      </c>
      <c r="T276" s="18">
        <f t="shared" si="31"/>
        <v>1.55</v>
      </c>
    </row>
    <row r="277" spans="2:20" x14ac:dyDescent="0.25">
      <c r="B277" s="117" t="s">
        <v>520</v>
      </c>
      <c r="C277" s="136" t="s">
        <v>521</v>
      </c>
      <c r="D277" s="14" t="s">
        <v>24</v>
      </c>
      <c r="E277" s="14" t="s">
        <v>16</v>
      </c>
      <c r="F277" s="15">
        <v>45769</v>
      </c>
      <c r="G277" s="16">
        <v>3.7</v>
      </c>
      <c r="H277" s="15">
        <v>45944</v>
      </c>
      <c r="I277" s="16">
        <v>1.05</v>
      </c>
      <c r="J277" s="15"/>
      <c r="K277" s="16"/>
      <c r="L277" s="15"/>
      <c r="M277" s="63"/>
      <c r="N277" s="17"/>
      <c r="O277" s="16"/>
      <c r="P277" s="16"/>
      <c r="Q277" s="152">
        <f t="shared" si="28"/>
        <v>0</v>
      </c>
      <c r="R277" s="152">
        <f t="shared" si="29"/>
        <v>3.7</v>
      </c>
      <c r="S277" s="152">
        <f t="shared" si="30"/>
        <v>3.7</v>
      </c>
      <c r="T277" s="18">
        <f t="shared" si="31"/>
        <v>4.75</v>
      </c>
    </row>
    <row r="278" spans="2:20" x14ac:dyDescent="0.25">
      <c r="B278" s="117" t="s">
        <v>526</v>
      </c>
      <c r="C278" s="136" t="s">
        <v>527</v>
      </c>
      <c r="D278" s="14" t="s">
        <v>15</v>
      </c>
      <c r="E278" s="14" t="s">
        <v>761</v>
      </c>
      <c r="F278" s="15">
        <v>45813</v>
      </c>
      <c r="G278" s="16">
        <f>0.0225*100*0.8421</f>
        <v>1.894725</v>
      </c>
      <c r="H278" s="15">
        <v>45981</v>
      </c>
      <c r="I278" s="16">
        <f>0.0225*100*0.8827</f>
        <v>1.986075</v>
      </c>
      <c r="J278" s="15"/>
      <c r="K278" s="16"/>
      <c r="L278" s="15"/>
      <c r="M278" s="63"/>
      <c r="N278" s="17"/>
      <c r="O278" s="16"/>
      <c r="P278" s="16"/>
      <c r="Q278" s="152">
        <f t="shared" si="28"/>
        <v>0</v>
      </c>
      <c r="R278" s="152">
        <f t="shared" si="29"/>
        <v>1.894725</v>
      </c>
      <c r="S278" s="152">
        <f t="shared" si="30"/>
        <v>1.894725</v>
      </c>
      <c r="T278" s="18">
        <f t="shared" si="31"/>
        <v>3.8807999999999998</v>
      </c>
    </row>
    <row r="279" spans="2:20" x14ac:dyDescent="0.25">
      <c r="B279" s="117" t="s">
        <v>528</v>
      </c>
      <c r="C279" s="136" t="s">
        <v>529</v>
      </c>
      <c r="D279" s="14" t="s">
        <v>15</v>
      </c>
      <c r="E279" s="14" t="s">
        <v>16</v>
      </c>
      <c r="F279" s="15">
        <v>45796</v>
      </c>
      <c r="G279" s="16">
        <v>6.36</v>
      </c>
      <c r="H279" s="15"/>
      <c r="I279" s="16"/>
      <c r="J279" s="15"/>
      <c r="K279" s="16"/>
      <c r="L279" s="15"/>
      <c r="M279" s="63"/>
      <c r="N279" s="17"/>
      <c r="O279" s="16"/>
      <c r="P279" s="16"/>
      <c r="Q279" s="152">
        <f t="shared" si="28"/>
        <v>0</v>
      </c>
      <c r="R279" s="152">
        <f t="shared" si="29"/>
        <v>6.36</v>
      </c>
      <c r="S279" s="152">
        <f t="shared" si="30"/>
        <v>6.36</v>
      </c>
      <c r="T279" s="18">
        <f t="shared" si="31"/>
        <v>6.36</v>
      </c>
    </row>
    <row r="280" spans="2:20" x14ac:dyDescent="0.25">
      <c r="B280" s="117" t="s">
        <v>530</v>
      </c>
      <c r="C280" s="136" t="s">
        <v>531</v>
      </c>
      <c r="D280" s="14" t="s">
        <v>15</v>
      </c>
      <c r="E280" s="14" t="s">
        <v>200</v>
      </c>
      <c r="F280" s="175">
        <v>45750</v>
      </c>
      <c r="G280" s="154">
        <f>8*0.96304118</f>
        <v>7.7043294400000004</v>
      </c>
      <c r="H280" s="15"/>
      <c r="I280" s="16"/>
      <c r="J280" s="15"/>
      <c r="K280" s="16"/>
      <c r="L280" s="15"/>
      <c r="M280" s="63"/>
      <c r="N280" s="17"/>
      <c r="O280" s="16"/>
      <c r="P280" s="16"/>
      <c r="Q280" s="152">
        <f t="shared" si="28"/>
        <v>0</v>
      </c>
      <c r="R280" s="152">
        <f t="shared" si="29"/>
        <v>7.7043294400000004</v>
      </c>
      <c r="S280" s="152">
        <f t="shared" si="30"/>
        <v>7.7043294400000004</v>
      </c>
      <c r="T280" s="18">
        <f t="shared" si="31"/>
        <v>7.7043294400000004</v>
      </c>
    </row>
    <row r="281" spans="2:20" x14ac:dyDescent="0.25">
      <c r="B281" s="117" t="s">
        <v>927</v>
      </c>
      <c r="C281" s="136" t="s">
        <v>928</v>
      </c>
      <c r="D281" s="14" t="s">
        <v>15</v>
      </c>
      <c r="E281" s="14" t="s">
        <v>200</v>
      </c>
      <c r="F281" s="15"/>
      <c r="G281" s="16"/>
      <c r="H281" s="15"/>
      <c r="I281" s="16"/>
      <c r="J281" s="15"/>
      <c r="K281" s="16"/>
      <c r="L281" s="15"/>
      <c r="M281" s="63"/>
      <c r="N281" s="17"/>
      <c r="O281" s="16"/>
      <c r="P281" s="16"/>
      <c r="Q281" s="152">
        <f t="shared" si="28"/>
        <v>0</v>
      </c>
      <c r="R281" s="152">
        <f t="shared" si="29"/>
        <v>0</v>
      </c>
      <c r="S281" s="152">
        <f t="shared" si="30"/>
        <v>0</v>
      </c>
      <c r="T281" s="18">
        <f t="shared" si="31"/>
        <v>0</v>
      </c>
    </row>
    <row r="282" spans="2:20" x14ac:dyDescent="0.25">
      <c r="B282" s="117" t="s">
        <v>532</v>
      </c>
      <c r="C282" s="136" t="s">
        <v>533</v>
      </c>
      <c r="D282" s="14" t="s">
        <v>15</v>
      </c>
      <c r="E282" s="14" t="s">
        <v>16</v>
      </c>
      <c r="F282" s="15">
        <v>45806</v>
      </c>
      <c r="G282" s="16">
        <v>1.22</v>
      </c>
      <c r="H282" s="15"/>
      <c r="I282" s="16"/>
      <c r="J282" s="15"/>
      <c r="K282" s="16"/>
      <c r="L282" s="15"/>
      <c r="M282" s="63"/>
      <c r="N282" s="17"/>
      <c r="O282" s="16"/>
      <c r="P282" s="16"/>
      <c r="Q282" s="152">
        <f t="shared" si="28"/>
        <v>0</v>
      </c>
      <c r="R282" s="152">
        <f t="shared" si="29"/>
        <v>1.22</v>
      </c>
      <c r="S282" s="152">
        <f t="shared" si="30"/>
        <v>1.22</v>
      </c>
      <c r="T282" s="18">
        <f t="shared" si="31"/>
        <v>1.22</v>
      </c>
    </row>
    <row r="283" spans="2:20" x14ac:dyDescent="0.25">
      <c r="B283" s="117" t="s">
        <v>534</v>
      </c>
      <c r="C283" s="136" t="s">
        <v>535</v>
      </c>
      <c r="D283" s="14" t="s">
        <v>15</v>
      </c>
      <c r="E283" s="14" t="s">
        <v>16</v>
      </c>
      <c r="F283" s="15">
        <v>45772</v>
      </c>
      <c r="G283" s="16">
        <v>1.6</v>
      </c>
      <c r="H283" s="15"/>
      <c r="I283" s="16"/>
      <c r="J283" s="15"/>
      <c r="K283" s="16"/>
      <c r="L283" s="15"/>
      <c r="M283" s="63"/>
      <c r="N283" s="17"/>
      <c r="O283" s="16"/>
      <c r="P283" s="16"/>
      <c r="Q283" s="152">
        <f t="shared" si="28"/>
        <v>0</v>
      </c>
      <c r="R283" s="152">
        <f t="shared" si="29"/>
        <v>1.6</v>
      </c>
      <c r="S283" s="152">
        <f t="shared" si="30"/>
        <v>1.6</v>
      </c>
      <c r="T283" s="18">
        <f t="shared" si="31"/>
        <v>1.6</v>
      </c>
    </row>
    <row r="284" spans="2:20" x14ac:dyDescent="0.25">
      <c r="B284" s="117" t="s">
        <v>744</v>
      </c>
      <c r="C284" s="136" t="s">
        <v>745</v>
      </c>
      <c r="D284" s="14" t="s">
        <v>15</v>
      </c>
      <c r="E284" s="14" t="s">
        <v>16</v>
      </c>
      <c r="F284" s="15">
        <v>45798</v>
      </c>
      <c r="G284" s="16">
        <v>0.95</v>
      </c>
      <c r="H284" s="15"/>
      <c r="I284" s="16"/>
      <c r="J284" s="15"/>
      <c r="K284" s="16"/>
      <c r="L284" s="15"/>
      <c r="M284" s="63"/>
      <c r="N284" s="17"/>
      <c r="O284" s="16"/>
      <c r="P284" s="16"/>
      <c r="Q284" s="152">
        <f t="shared" si="28"/>
        <v>0</v>
      </c>
      <c r="R284" s="152">
        <f t="shared" si="29"/>
        <v>0.95</v>
      </c>
      <c r="S284" s="152">
        <f t="shared" si="30"/>
        <v>0.95</v>
      </c>
      <c r="T284" s="18">
        <f t="shared" si="31"/>
        <v>0.95</v>
      </c>
    </row>
    <row r="285" spans="2:20" x14ac:dyDescent="0.25">
      <c r="B285" s="117" t="s">
        <v>542</v>
      </c>
      <c r="C285" s="136" t="s">
        <v>543</v>
      </c>
      <c r="D285" s="14" t="s">
        <v>15</v>
      </c>
      <c r="E285" s="14" t="s">
        <v>16</v>
      </c>
      <c r="F285" s="15">
        <v>45796</v>
      </c>
      <c r="G285" s="16">
        <v>1.5</v>
      </c>
      <c r="H285" s="15">
        <v>45895</v>
      </c>
      <c r="I285" s="16">
        <v>0.93</v>
      </c>
      <c r="J285" s="15"/>
      <c r="K285" s="16"/>
      <c r="L285" s="15"/>
      <c r="M285" s="63"/>
      <c r="N285" s="17"/>
      <c r="O285" s="16"/>
      <c r="P285" s="16"/>
      <c r="Q285" s="152">
        <f t="shared" si="28"/>
        <v>0</v>
      </c>
      <c r="R285" s="152">
        <f t="shared" si="29"/>
        <v>1.5</v>
      </c>
      <c r="S285" s="152">
        <f t="shared" si="30"/>
        <v>2.4300000000000002</v>
      </c>
      <c r="T285" s="18">
        <f t="shared" si="31"/>
        <v>2.4300000000000002</v>
      </c>
    </row>
    <row r="286" spans="2:20" x14ac:dyDescent="0.25">
      <c r="B286" s="117" t="s">
        <v>544</v>
      </c>
      <c r="C286" s="136" t="s">
        <v>545</v>
      </c>
      <c r="D286" s="14" t="s">
        <v>15</v>
      </c>
      <c r="E286" s="14" t="s">
        <v>761</v>
      </c>
      <c r="F286" s="15">
        <v>45813</v>
      </c>
      <c r="G286" s="16">
        <v>24.4</v>
      </c>
      <c r="H286" s="15">
        <v>45939</v>
      </c>
      <c r="I286" s="16">
        <v>7.5</v>
      </c>
      <c r="J286" s="15"/>
      <c r="K286" s="16"/>
      <c r="L286" s="15"/>
      <c r="M286" s="63"/>
      <c r="N286" s="17"/>
      <c r="O286" s="16"/>
      <c r="P286" s="16"/>
      <c r="Q286" s="152">
        <f t="shared" si="28"/>
        <v>0</v>
      </c>
      <c r="R286" s="152">
        <f t="shared" si="29"/>
        <v>24.4</v>
      </c>
      <c r="S286" s="152">
        <f t="shared" si="30"/>
        <v>24.4</v>
      </c>
      <c r="T286" s="18">
        <f t="shared" si="31"/>
        <v>31.9</v>
      </c>
    </row>
    <row r="287" spans="2:20" x14ac:dyDescent="0.25">
      <c r="B287" s="117" t="s">
        <v>769</v>
      </c>
      <c r="C287" s="136" t="s">
        <v>770</v>
      </c>
      <c r="D287" s="14" t="s">
        <v>755</v>
      </c>
      <c r="E287" s="14" t="s">
        <v>475</v>
      </c>
      <c r="F287" s="15">
        <v>45807</v>
      </c>
      <c r="G287" s="16">
        <v>5</v>
      </c>
      <c r="H287" s="15"/>
      <c r="I287" s="16"/>
      <c r="J287" s="15"/>
      <c r="K287" s="16"/>
      <c r="L287" s="15"/>
      <c r="M287" s="63"/>
      <c r="N287" s="17"/>
      <c r="O287" s="16"/>
      <c r="P287" s="16"/>
      <c r="Q287" s="152">
        <f t="shared" si="28"/>
        <v>0</v>
      </c>
      <c r="R287" s="152">
        <f t="shared" si="29"/>
        <v>5</v>
      </c>
      <c r="S287" s="152">
        <f t="shared" si="30"/>
        <v>5</v>
      </c>
      <c r="T287" s="18">
        <f t="shared" si="31"/>
        <v>5</v>
      </c>
    </row>
    <row r="288" spans="2:20" x14ac:dyDescent="0.25">
      <c r="B288" s="117" t="s">
        <v>548</v>
      </c>
      <c r="C288" s="136" t="s">
        <v>549</v>
      </c>
      <c r="D288" s="14" t="s">
        <v>15</v>
      </c>
      <c r="E288" s="14" t="s">
        <v>21</v>
      </c>
      <c r="F288" s="15">
        <v>45758</v>
      </c>
      <c r="G288" s="16">
        <v>28</v>
      </c>
      <c r="H288" s="15"/>
      <c r="I288" s="16"/>
      <c r="J288" s="15"/>
      <c r="K288" s="16"/>
      <c r="L288" s="15"/>
      <c r="M288" s="63"/>
      <c r="N288" s="17"/>
      <c r="O288" s="16"/>
      <c r="P288" s="16"/>
      <c r="Q288" s="152">
        <f t="shared" si="28"/>
        <v>0</v>
      </c>
      <c r="R288" s="152">
        <f t="shared" si="29"/>
        <v>28</v>
      </c>
      <c r="S288" s="152">
        <f t="shared" si="30"/>
        <v>28</v>
      </c>
      <c r="T288" s="18">
        <f t="shared" si="31"/>
        <v>28</v>
      </c>
    </row>
    <row r="289" spans="2:20" x14ac:dyDescent="0.25">
      <c r="B289" s="134" t="s">
        <v>557</v>
      </c>
      <c r="C289" s="135" t="s">
        <v>584</v>
      </c>
      <c r="D289" s="135" t="s">
        <v>55</v>
      </c>
      <c r="E289" s="22" t="s">
        <v>56</v>
      </c>
      <c r="F289" s="23">
        <v>45702</v>
      </c>
      <c r="G289" s="24">
        <v>0.73</v>
      </c>
      <c r="H289" s="23">
        <v>45800</v>
      </c>
      <c r="I289" s="24">
        <v>0.73</v>
      </c>
      <c r="J289" s="23">
        <v>45894</v>
      </c>
      <c r="K289" s="24">
        <v>0.73</v>
      </c>
      <c r="L289" s="23">
        <v>45975</v>
      </c>
      <c r="M289" s="24">
        <v>0.73</v>
      </c>
      <c r="N289" s="25"/>
      <c r="O289" s="24"/>
      <c r="P289" s="24"/>
      <c r="Q289" s="24"/>
      <c r="R289" s="24"/>
      <c r="S289" s="24"/>
      <c r="T289" s="26">
        <f t="shared" ref="T289:T344" si="32">G289+I289+K289+M289+O289</f>
        <v>2.92</v>
      </c>
    </row>
    <row r="290" spans="2:20" x14ac:dyDescent="0.25">
      <c r="B290" s="134" t="s">
        <v>563</v>
      </c>
      <c r="C290" s="135" t="s">
        <v>590</v>
      </c>
      <c r="D290" s="135" t="s">
        <v>55</v>
      </c>
      <c r="E290" s="22" t="s">
        <v>56</v>
      </c>
      <c r="F290" s="23">
        <v>45762</v>
      </c>
      <c r="G290" s="24">
        <v>1.64</v>
      </c>
      <c r="H290" s="23">
        <v>45853</v>
      </c>
      <c r="I290" s="24">
        <v>1.64</v>
      </c>
      <c r="J290" s="23">
        <v>45945</v>
      </c>
      <c r="K290" s="24">
        <v>1.64</v>
      </c>
      <c r="L290" s="23">
        <v>46038</v>
      </c>
      <c r="M290" s="24">
        <v>1.73</v>
      </c>
      <c r="N290" s="25"/>
      <c r="O290" s="24"/>
      <c r="P290" s="24"/>
      <c r="Q290" s="24"/>
      <c r="R290" s="24"/>
      <c r="S290" s="24"/>
      <c r="T290" s="26">
        <f t="shared" si="32"/>
        <v>6.65</v>
      </c>
    </row>
    <row r="291" spans="2:20" x14ac:dyDescent="0.25">
      <c r="B291" s="134" t="s">
        <v>554</v>
      </c>
      <c r="C291" s="135" t="s">
        <v>581</v>
      </c>
      <c r="D291" s="135" t="s">
        <v>55</v>
      </c>
      <c r="E291" s="22" t="s">
        <v>56</v>
      </c>
      <c r="F291" s="23">
        <v>45741</v>
      </c>
      <c r="G291" s="24">
        <v>1.02</v>
      </c>
      <c r="H291" s="23">
        <v>45824</v>
      </c>
      <c r="I291" s="24">
        <v>1.02</v>
      </c>
      <c r="J291" s="23">
        <v>45915</v>
      </c>
      <c r="K291" s="24">
        <v>1.06</v>
      </c>
      <c r="L291" s="23">
        <v>46017</v>
      </c>
      <c r="M291" s="24">
        <v>1.06</v>
      </c>
      <c r="N291" s="25"/>
      <c r="O291" s="24"/>
      <c r="P291" s="24"/>
      <c r="Q291" s="24"/>
      <c r="R291" s="24"/>
      <c r="S291" s="24"/>
      <c r="T291" s="26">
        <f t="shared" si="32"/>
        <v>4.16</v>
      </c>
    </row>
    <row r="292" spans="2:20" x14ac:dyDescent="0.25">
      <c r="B292" s="134" t="s">
        <v>53</v>
      </c>
      <c r="C292" s="137" t="s">
        <v>54</v>
      </c>
      <c r="D292" s="135" t="s">
        <v>55</v>
      </c>
      <c r="E292" s="22" t="s">
        <v>56</v>
      </c>
      <c r="F292" s="23"/>
      <c r="G292" s="24"/>
      <c r="H292" s="23"/>
      <c r="I292" s="24"/>
      <c r="J292" s="23"/>
      <c r="K292" s="24"/>
      <c r="L292" s="23"/>
      <c r="M292" s="24"/>
      <c r="N292" s="25"/>
      <c r="O292" s="24"/>
      <c r="P292" s="24"/>
      <c r="Q292" s="24"/>
      <c r="R292" s="24"/>
      <c r="S292" s="24"/>
      <c r="T292" s="26">
        <f t="shared" si="32"/>
        <v>0</v>
      </c>
    </row>
    <row r="293" spans="2:20" x14ac:dyDescent="0.25">
      <c r="B293" s="134" t="s">
        <v>556</v>
      </c>
      <c r="C293" s="137" t="s">
        <v>583</v>
      </c>
      <c r="D293" s="135" t="s">
        <v>55</v>
      </c>
      <c r="E293" s="22" t="s">
        <v>56</v>
      </c>
      <c r="F293" s="23">
        <v>45702</v>
      </c>
      <c r="G293" s="24">
        <v>2.38</v>
      </c>
      <c r="H293" s="23">
        <v>45793</v>
      </c>
      <c r="I293" s="24">
        <v>2.38</v>
      </c>
      <c r="J293" s="23">
        <v>45891</v>
      </c>
      <c r="K293" s="24">
        <v>2.38</v>
      </c>
      <c r="L293" s="23">
        <v>45982</v>
      </c>
      <c r="M293" s="24">
        <v>2.38</v>
      </c>
      <c r="N293" s="25"/>
      <c r="O293" s="24"/>
      <c r="P293" s="24"/>
      <c r="Q293" s="24"/>
      <c r="R293" s="24"/>
      <c r="S293" s="24"/>
      <c r="T293" s="26">
        <f t="shared" si="32"/>
        <v>9.52</v>
      </c>
    </row>
    <row r="294" spans="2:20" x14ac:dyDescent="0.25">
      <c r="B294" s="134" t="s">
        <v>61</v>
      </c>
      <c r="C294" s="137" t="s">
        <v>62</v>
      </c>
      <c r="D294" s="135" t="s">
        <v>55</v>
      </c>
      <c r="E294" s="22" t="s">
        <v>56</v>
      </c>
      <c r="F294" s="23">
        <v>45698</v>
      </c>
      <c r="G294" s="24">
        <v>0.25</v>
      </c>
      <c r="H294" s="23">
        <v>45789</v>
      </c>
      <c r="I294" s="24">
        <v>0.26</v>
      </c>
      <c r="J294" s="23">
        <v>45880</v>
      </c>
      <c r="K294" s="24">
        <v>0.26</v>
      </c>
      <c r="L294" s="23">
        <v>45971</v>
      </c>
      <c r="M294" s="24">
        <v>0.26</v>
      </c>
      <c r="N294" s="25"/>
      <c r="O294" s="24"/>
      <c r="P294" s="24"/>
      <c r="Q294" s="24"/>
      <c r="R294" s="24"/>
      <c r="S294" s="24"/>
      <c r="T294" s="26">
        <f t="shared" si="32"/>
        <v>1.03</v>
      </c>
    </row>
    <row r="295" spans="2:20" x14ac:dyDescent="0.25">
      <c r="B295" s="134" t="s">
        <v>71</v>
      </c>
      <c r="C295" s="137" t="s">
        <v>72</v>
      </c>
      <c r="D295" s="135" t="s">
        <v>55</v>
      </c>
      <c r="E295" s="22" t="s">
        <v>56</v>
      </c>
      <c r="F295" s="23">
        <v>45757</v>
      </c>
      <c r="G295" s="24">
        <v>0.27750000000000002</v>
      </c>
      <c r="H295" s="23">
        <v>45848</v>
      </c>
      <c r="I295" s="24">
        <v>0.27750000000000002</v>
      </c>
      <c r="J295" s="23">
        <v>45940</v>
      </c>
      <c r="K295" s="24">
        <v>0.27750000000000002</v>
      </c>
      <c r="L295" s="23">
        <v>46034</v>
      </c>
      <c r="M295" s="24">
        <v>0.27750000000000002</v>
      </c>
      <c r="N295" s="25"/>
      <c r="O295" s="24"/>
      <c r="P295" s="24"/>
      <c r="Q295" s="24"/>
      <c r="R295" s="24"/>
      <c r="S295" s="24"/>
      <c r="T295" s="26">
        <f t="shared" si="32"/>
        <v>1.1100000000000001</v>
      </c>
    </row>
    <row r="296" spans="2:20" x14ac:dyDescent="0.25">
      <c r="B296" s="134" t="s">
        <v>112</v>
      </c>
      <c r="C296" s="137" t="s">
        <v>113</v>
      </c>
      <c r="D296" s="135" t="s">
        <v>55</v>
      </c>
      <c r="E296" s="22" t="s">
        <v>56</v>
      </c>
      <c r="F296" s="23">
        <v>45723</v>
      </c>
      <c r="G296" s="24">
        <v>0.26</v>
      </c>
      <c r="H296" s="23">
        <v>45814</v>
      </c>
      <c r="I296" s="24">
        <v>0.26</v>
      </c>
      <c r="J296" s="23">
        <v>45905</v>
      </c>
      <c r="K296" s="24">
        <v>0.28000000000000003</v>
      </c>
      <c r="L296" s="23">
        <v>45996</v>
      </c>
      <c r="M296" s="24">
        <v>0.28000000000000003</v>
      </c>
      <c r="N296" s="25"/>
      <c r="O296" s="24"/>
      <c r="P296" s="24"/>
      <c r="Q296" s="24"/>
      <c r="R296" s="24"/>
      <c r="S296" s="24"/>
      <c r="T296" s="26">
        <f t="shared" si="32"/>
        <v>1.08</v>
      </c>
    </row>
    <row r="297" spans="2:20" x14ac:dyDescent="0.25">
      <c r="B297" s="134" t="s">
        <v>564</v>
      </c>
      <c r="C297" s="137" t="s">
        <v>591</v>
      </c>
      <c r="D297" s="135" t="s">
        <v>55</v>
      </c>
      <c r="E297" s="22" t="s">
        <v>56</v>
      </c>
      <c r="F297" s="23"/>
      <c r="G297" s="24"/>
      <c r="H297" s="23"/>
      <c r="I297" s="24"/>
      <c r="J297" s="23"/>
      <c r="K297" s="24"/>
      <c r="L297" s="23"/>
      <c r="M297" s="24"/>
      <c r="N297" s="25"/>
      <c r="O297" s="24"/>
      <c r="P297" s="24"/>
      <c r="Q297" s="24"/>
      <c r="R297" s="24"/>
      <c r="S297" s="24"/>
      <c r="T297" s="26">
        <f t="shared" si="32"/>
        <v>0</v>
      </c>
    </row>
    <row r="298" spans="2:20" x14ac:dyDescent="0.25">
      <c r="B298" s="134" t="s">
        <v>566</v>
      </c>
      <c r="C298" s="137" t="s">
        <v>593</v>
      </c>
      <c r="D298" s="135" t="s">
        <v>55</v>
      </c>
      <c r="E298" s="22" t="s">
        <v>56</v>
      </c>
      <c r="F298" s="23">
        <v>45751</v>
      </c>
      <c r="G298" s="24">
        <v>0.62</v>
      </c>
      <c r="H298" s="23">
        <v>45841</v>
      </c>
      <c r="I298" s="24">
        <v>0.62</v>
      </c>
      <c r="J298" s="23">
        <v>45933</v>
      </c>
      <c r="K298" s="24">
        <v>0.62</v>
      </c>
      <c r="L298" s="23">
        <v>46024</v>
      </c>
      <c r="M298" s="24">
        <v>0.63</v>
      </c>
      <c r="N298" s="25"/>
      <c r="O298" s="24"/>
      <c r="P298" s="24"/>
      <c r="Q298" s="24"/>
      <c r="R298" s="24"/>
      <c r="S298" s="24"/>
      <c r="T298" s="26">
        <f t="shared" si="32"/>
        <v>2.4899999999999998</v>
      </c>
    </row>
    <row r="299" spans="2:20" x14ac:dyDescent="0.25">
      <c r="B299" s="134" t="s">
        <v>568</v>
      </c>
      <c r="C299" s="137" t="s">
        <v>595</v>
      </c>
      <c r="D299" s="135" t="s">
        <v>55</v>
      </c>
      <c r="E299" s="22" t="s">
        <v>56</v>
      </c>
      <c r="F299" s="23">
        <v>45736</v>
      </c>
      <c r="G299" s="24">
        <v>0.59</v>
      </c>
      <c r="H299" s="23">
        <v>45828</v>
      </c>
      <c r="I299" s="24">
        <v>0.59</v>
      </c>
      <c r="J299" s="23">
        <v>45922</v>
      </c>
      <c r="K299" s="24">
        <v>0.59</v>
      </c>
      <c r="L299" s="23">
        <v>46013</v>
      </c>
      <c r="M299" s="24">
        <v>0.65</v>
      </c>
      <c r="N299" s="25"/>
      <c r="O299" s="24"/>
      <c r="P299" s="24"/>
      <c r="Q299" s="24"/>
      <c r="R299" s="24"/>
      <c r="S299" s="24"/>
      <c r="T299" s="26">
        <f t="shared" si="32"/>
        <v>2.42</v>
      </c>
    </row>
    <row r="300" spans="2:20" x14ac:dyDescent="0.25">
      <c r="B300" s="134" t="s">
        <v>141</v>
      </c>
      <c r="C300" s="137" t="s">
        <v>142</v>
      </c>
      <c r="D300" s="135" t="s">
        <v>55</v>
      </c>
      <c r="E300" s="22" t="s">
        <v>56</v>
      </c>
      <c r="F300" s="23">
        <v>45702</v>
      </c>
      <c r="G300" s="24">
        <v>1.71</v>
      </c>
      <c r="H300" s="23">
        <v>45796</v>
      </c>
      <c r="I300" s="24">
        <v>1.71</v>
      </c>
      <c r="J300" s="23">
        <v>45888</v>
      </c>
      <c r="K300" s="24">
        <v>1.71</v>
      </c>
      <c r="L300" s="23">
        <v>45979</v>
      </c>
      <c r="M300" s="24">
        <v>1.71</v>
      </c>
      <c r="N300" s="25"/>
      <c r="O300" s="24"/>
      <c r="P300" s="24"/>
      <c r="Q300" s="24"/>
      <c r="R300" s="24"/>
      <c r="S300" s="24"/>
      <c r="T300" s="26">
        <f t="shared" si="32"/>
        <v>6.84</v>
      </c>
    </row>
    <row r="301" spans="2:20" x14ac:dyDescent="0.25">
      <c r="B301" s="134" t="s">
        <v>143</v>
      </c>
      <c r="C301" s="137" t="s">
        <v>144</v>
      </c>
      <c r="D301" s="135" t="s">
        <v>55</v>
      </c>
      <c r="E301" s="22" t="s">
        <v>56</v>
      </c>
      <c r="F301" s="23">
        <v>45750</v>
      </c>
      <c r="G301" s="24">
        <v>0.41</v>
      </c>
      <c r="H301" s="23">
        <v>45841</v>
      </c>
      <c r="I301" s="24">
        <v>0.41</v>
      </c>
      <c r="J301" s="23">
        <v>45933</v>
      </c>
      <c r="K301" s="24">
        <v>0.41</v>
      </c>
      <c r="L301" s="23">
        <v>46024</v>
      </c>
      <c r="M301" s="24">
        <v>0.41</v>
      </c>
      <c r="N301" s="25"/>
      <c r="O301" s="24"/>
      <c r="P301" s="24"/>
      <c r="Q301" s="24"/>
      <c r="R301" s="24"/>
      <c r="S301" s="24"/>
      <c r="T301" s="26">
        <f t="shared" si="32"/>
        <v>1.64</v>
      </c>
    </row>
    <row r="302" spans="2:20" x14ac:dyDescent="0.25">
      <c r="B302" s="134" t="s">
        <v>145</v>
      </c>
      <c r="C302" s="137" t="s">
        <v>146</v>
      </c>
      <c r="D302" s="135" t="s">
        <v>55</v>
      </c>
      <c r="E302" s="22" t="s">
        <v>56</v>
      </c>
      <c r="F302" s="23">
        <v>45691</v>
      </c>
      <c r="G302" s="24">
        <v>0.56000000000000005</v>
      </c>
      <c r="H302" s="23">
        <v>45782</v>
      </c>
      <c r="I302" s="24">
        <v>0.56000000000000005</v>
      </c>
      <c r="J302" s="23">
        <v>45873</v>
      </c>
      <c r="K302" s="24">
        <v>0.6</v>
      </c>
      <c r="L302" s="23">
        <v>45964</v>
      </c>
      <c r="M302" s="24">
        <v>0.6</v>
      </c>
      <c r="N302" s="25"/>
      <c r="O302" s="24"/>
      <c r="P302" s="24"/>
      <c r="Q302" s="24"/>
      <c r="R302" s="24"/>
      <c r="S302" s="24"/>
      <c r="T302" s="26">
        <f t="shared" si="32"/>
        <v>2.3200000000000003</v>
      </c>
    </row>
    <row r="303" spans="2:20" x14ac:dyDescent="0.25">
      <c r="B303" s="134" t="s">
        <v>147</v>
      </c>
      <c r="C303" s="137" t="s">
        <v>148</v>
      </c>
      <c r="D303" s="135" t="s">
        <v>55</v>
      </c>
      <c r="E303" s="22" t="s">
        <v>56</v>
      </c>
      <c r="F303" s="23">
        <v>45723</v>
      </c>
      <c r="G303" s="24">
        <v>1.25</v>
      </c>
      <c r="H303" s="23">
        <v>45817</v>
      </c>
      <c r="I303" s="24">
        <v>1.25</v>
      </c>
      <c r="J303" s="23">
        <v>45909</v>
      </c>
      <c r="K303" s="24">
        <v>1.25</v>
      </c>
      <c r="L303" s="23">
        <v>46003</v>
      </c>
      <c r="M303" s="24">
        <v>1.25</v>
      </c>
      <c r="N303" s="25"/>
      <c r="O303" s="24"/>
      <c r="P303" s="24"/>
      <c r="Q303" s="24"/>
      <c r="R303" s="24"/>
      <c r="S303" s="24"/>
      <c r="T303" s="26">
        <f t="shared" si="32"/>
        <v>5</v>
      </c>
    </row>
    <row r="304" spans="2:20" x14ac:dyDescent="0.25">
      <c r="B304" s="134" t="s">
        <v>149</v>
      </c>
      <c r="C304" s="137" t="s">
        <v>150</v>
      </c>
      <c r="D304" s="135" t="s">
        <v>55</v>
      </c>
      <c r="E304" s="22" t="s">
        <v>56</v>
      </c>
      <c r="F304" s="23">
        <v>45730</v>
      </c>
      <c r="G304" s="24">
        <v>0.51</v>
      </c>
      <c r="H304" s="23">
        <v>45821</v>
      </c>
      <c r="I304" s="24">
        <v>0.51</v>
      </c>
      <c r="J304" s="23">
        <v>45915</v>
      </c>
      <c r="K304" s="24">
        <v>0.51</v>
      </c>
      <c r="L304" s="23">
        <v>45992</v>
      </c>
      <c r="M304" s="24">
        <v>0.51</v>
      </c>
      <c r="N304" s="25"/>
      <c r="O304" s="24"/>
      <c r="P304" s="24"/>
      <c r="Q304" s="24"/>
      <c r="R304" s="24"/>
      <c r="S304" s="24"/>
      <c r="T304" s="26">
        <f t="shared" si="32"/>
        <v>2.04</v>
      </c>
    </row>
    <row r="305" spans="1:21" x14ac:dyDescent="0.25">
      <c r="B305" s="134" t="s">
        <v>550</v>
      </c>
      <c r="C305" s="137" t="s">
        <v>155</v>
      </c>
      <c r="D305" s="135" t="s">
        <v>55</v>
      </c>
      <c r="E305" s="22" t="s">
        <v>56</v>
      </c>
      <c r="F305" s="23">
        <v>45749</v>
      </c>
      <c r="G305" s="24">
        <v>0.33</v>
      </c>
      <c r="H305" s="23">
        <v>45840</v>
      </c>
      <c r="I305" s="24">
        <v>0.33</v>
      </c>
      <c r="J305" s="23">
        <v>45931</v>
      </c>
      <c r="K305" s="24">
        <v>0.33</v>
      </c>
      <c r="L305" s="23">
        <v>46036</v>
      </c>
      <c r="M305" s="24">
        <v>0.33</v>
      </c>
      <c r="N305" s="25"/>
      <c r="O305" s="24"/>
      <c r="P305" s="24"/>
      <c r="Q305" s="24"/>
      <c r="R305" s="24"/>
      <c r="S305" s="24"/>
      <c r="T305" s="26">
        <f t="shared" si="32"/>
        <v>1.32</v>
      </c>
    </row>
    <row r="306" spans="1:21" x14ac:dyDescent="0.25">
      <c r="B306" s="134" t="s">
        <v>577</v>
      </c>
      <c r="C306" s="137" t="s">
        <v>604</v>
      </c>
      <c r="D306" s="135" t="s">
        <v>55</v>
      </c>
      <c r="E306" s="22" t="s">
        <v>56</v>
      </c>
      <c r="F306" s="23">
        <v>45680</v>
      </c>
      <c r="G306" s="24">
        <v>0.66500000000000004</v>
      </c>
      <c r="H306" s="23">
        <v>45769</v>
      </c>
      <c r="I306" s="24">
        <v>0.66500000000000004</v>
      </c>
      <c r="J306" s="23">
        <v>45860</v>
      </c>
      <c r="K306" s="24">
        <v>0.66500000000000004</v>
      </c>
      <c r="L306" s="23">
        <v>45953</v>
      </c>
      <c r="M306" s="24">
        <v>0.66500000000000004</v>
      </c>
      <c r="N306" s="25"/>
      <c r="O306" s="24"/>
      <c r="P306" s="24"/>
      <c r="Q306" s="24"/>
      <c r="R306" s="24"/>
      <c r="S306" s="24"/>
      <c r="T306" s="26">
        <f t="shared" si="32"/>
        <v>2.66</v>
      </c>
    </row>
    <row r="307" spans="1:21" x14ac:dyDescent="0.25">
      <c r="B307" s="134" t="s">
        <v>192</v>
      </c>
      <c r="C307" s="137" t="s">
        <v>193</v>
      </c>
      <c r="D307" s="135" t="s">
        <v>55</v>
      </c>
      <c r="E307" s="22" t="s">
        <v>56</v>
      </c>
      <c r="F307" s="23">
        <v>45702</v>
      </c>
      <c r="G307" s="24">
        <v>1.0449999999999999</v>
      </c>
      <c r="H307" s="23">
        <v>45793</v>
      </c>
      <c r="I307" s="24">
        <v>1.0449999999999999</v>
      </c>
      <c r="J307" s="23">
        <v>45884</v>
      </c>
      <c r="K307" s="24">
        <v>1.0649999999999999</v>
      </c>
      <c r="L307" s="23">
        <v>45975</v>
      </c>
      <c r="M307" s="24">
        <v>1.0649999999999999</v>
      </c>
      <c r="N307" s="25"/>
      <c r="O307" s="24"/>
      <c r="P307" s="24"/>
      <c r="Q307" s="24"/>
      <c r="R307" s="24"/>
      <c r="S307" s="24"/>
      <c r="T307" s="26">
        <f t="shared" si="32"/>
        <v>4.22</v>
      </c>
    </row>
    <row r="308" spans="1:21" x14ac:dyDescent="0.25">
      <c r="A308" s="33"/>
      <c r="B308" s="134" t="s">
        <v>575</v>
      </c>
      <c r="C308" s="137" t="s">
        <v>602</v>
      </c>
      <c r="D308" s="135" t="s">
        <v>55</v>
      </c>
      <c r="E308" s="22" t="s">
        <v>56</v>
      </c>
      <c r="F308" s="23">
        <v>45702</v>
      </c>
      <c r="G308" s="24">
        <v>1.5</v>
      </c>
      <c r="H308" s="23">
        <v>45793</v>
      </c>
      <c r="I308" s="24">
        <v>1.5</v>
      </c>
      <c r="J308" s="23">
        <v>45884</v>
      </c>
      <c r="K308" s="24">
        <v>1.5</v>
      </c>
      <c r="L308" s="23">
        <v>45975</v>
      </c>
      <c r="M308" s="24">
        <v>1.5</v>
      </c>
      <c r="N308" s="25"/>
      <c r="O308" s="24"/>
      <c r="P308" s="24"/>
      <c r="Q308" s="24"/>
      <c r="R308" s="24"/>
      <c r="S308" s="24"/>
      <c r="T308" s="26">
        <f t="shared" si="32"/>
        <v>6</v>
      </c>
      <c r="U308" s="36"/>
    </row>
    <row r="309" spans="1:21" x14ac:dyDescent="0.25">
      <c r="A309" s="33"/>
      <c r="B309" s="134" t="s">
        <v>223</v>
      </c>
      <c r="C309" s="137" t="s">
        <v>224</v>
      </c>
      <c r="D309" s="135" t="s">
        <v>55</v>
      </c>
      <c r="E309" s="22" t="s">
        <v>56</v>
      </c>
      <c r="F309" s="23">
        <v>45700</v>
      </c>
      <c r="G309" s="24">
        <v>0.99</v>
      </c>
      <c r="H309" s="23">
        <v>45792</v>
      </c>
      <c r="I309" s="24">
        <v>0.99</v>
      </c>
      <c r="J309" s="23">
        <v>45884</v>
      </c>
      <c r="K309" s="24">
        <v>0.99</v>
      </c>
      <c r="L309" s="23">
        <v>45975</v>
      </c>
      <c r="M309" s="24">
        <v>1.03</v>
      </c>
      <c r="N309" s="25"/>
      <c r="O309" s="24"/>
      <c r="P309" s="24"/>
      <c r="Q309" s="24"/>
      <c r="R309" s="24"/>
      <c r="S309" s="24"/>
      <c r="T309" s="26">
        <f t="shared" si="32"/>
        <v>4</v>
      </c>
      <c r="U309" s="36"/>
    </row>
    <row r="310" spans="1:21" x14ac:dyDescent="0.25">
      <c r="B310" s="134" t="s">
        <v>227</v>
      </c>
      <c r="C310" s="137" t="s">
        <v>228</v>
      </c>
      <c r="D310" s="135" t="s">
        <v>55</v>
      </c>
      <c r="E310" s="22" t="s">
        <v>56</v>
      </c>
      <c r="F310" s="175">
        <v>45705</v>
      </c>
      <c r="G310" s="154">
        <f>0.15*0.98392283</f>
        <v>0.14758842450000001</v>
      </c>
      <c r="H310" s="23">
        <v>45789</v>
      </c>
      <c r="I310" s="24">
        <v>0.15</v>
      </c>
      <c r="J310" s="23">
        <v>45880</v>
      </c>
      <c r="K310" s="24">
        <v>0.15</v>
      </c>
      <c r="L310" s="23">
        <v>45968</v>
      </c>
      <c r="M310" s="24">
        <v>0.15</v>
      </c>
      <c r="N310" s="25"/>
      <c r="O310" s="24"/>
      <c r="P310" s="24"/>
      <c r="Q310" s="24"/>
      <c r="R310" s="24"/>
      <c r="S310" s="24"/>
      <c r="T310" s="26">
        <f t="shared" si="32"/>
        <v>0.59758842450000005</v>
      </c>
    </row>
    <row r="311" spans="1:21" x14ac:dyDescent="0.25">
      <c r="B311" s="134" t="s">
        <v>961</v>
      </c>
      <c r="C311" s="137" t="s">
        <v>241</v>
      </c>
      <c r="D311" s="135" t="s">
        <v>55</v>
      </c>
      <c r="E311" s="22" t="s">
        <v>56</v>
      </c>
      <c r="F311" s="23">
        <v>45726</v>
      </c>
      <c r="G311" s="24">
        <v>0.36</v>
      </c>
      <c r="H311" s="23">
        <v>45845</v>
      </c>
      <c r="I311" s="24">
        <v>0.36</v>
      </c>
      <c r="J311" s="23">
        <v>45929</v>
      </c>
      <c r="K311" s="24">
        <v>0.36</v>
      </c>
      <c r="L311" s="23">
        <v>46020</v>
      </c>
      <c r="M311" s="24">
        <v>0.36</v>
      </c>
      <c r="N311" s="25"/>
      <c r="O311" s="24"/>
      <c r="P311" s="24"/>
      <c r="Q311" s="24"/>
      <c r="R311" s="24"/>
      <c r="S311" s="24"/>
      <c r="T311" s="26">
        <f t="shared" si="32"/>
        <v>1.44</v>
      </c>
    </row>
    <row r="312" spans="1:21" x14ac:dyDescent="0.25">
      <c r="B312" s="134" t="s">
        <v>246</v>
      </c>
      <c r="C312" s="137" t="s">
        <v>247</v>
      </c>
      <c r="D312" s="135" t="s">
        <v>55</v>
      </c>
      <c r="E312" s="22" t="s">
        <v>56</v>
      </c>
      <c r="F312" s="23">
        <v>45723</v>
      </c>
      <c r="G312" s="24">
        <v>0.12</v>
      </c>
      <c r="H312" s="23">
        <v>45814</v>
      </c>
      <c r="I312" s="24">
        <v>0.15</v>
      </c>
      <c r="J312" s="23">
        <v>45905</v>
      </c>
      <c r="K312" s="24">
        <v>0.15</v>
      </c>
      <c r="L312" s="23">
        <v>45996</v>
      </c>
      <c r="M312" s="24">
        <v>0.15</v>
      </c>
      <c r="N312" s="25"/>
      <c r="O312" s="24"/>
      <c r="P312" s="24"/>
      <c r="Q312" s="24"/>
      <c r="R312" s="24"/>
      <c r="S312" s="24"/>
      <c r="T312" s="26">
        <f t="shared" si="32"/>
        <v>0.57000000000000006</v>
      </c>
    </row>
    <row r="313" spans="1:21" x14ac:dyDescent="0.25">
      <c r="B313" s="134" t="s">
        <v>567</v>
      </c>
      <c r="C313" s="137" t="s">
        <v>594</v>
      </c>
      <c r="D313" s="135" t="s">
        <v>55</v>
      </c>
      <c r="E313" s="22" t="s">
        <v>56</v>
      </c>
      <c r="F313" s="23">
        <v>45730</v>
      </c>
      <c r="G313" s="24">
        <v>0.79</v>
      </c>
      <c r="H313" s="23">
        <v>45821</v>
      </c>
      <c r="I313" s="24">
        <v>0.79</v>
      </c>
      <c r="J313" s="23">
        <v>45915</v>
      </c>
      <c r="K313" s="24">
        <v>0.79</v>
      </c>
      <c r="L313" s="23">
        <v>46006</v>
      </c>
      <c r="M313" s="24">
        <v>0.79</v>
      </c>
      <c r="N313" s="25"/>
      <c r="O313" s="24"/>
      <c r="P313" s="24"/>
      <c r="Q313" s="24"/>
      <c r="R313" s="24"/>
      <c r="S313" s="24"/>
      <c r="T313" s="26">
        <f t="shared" si="32"/>
        <v>3.16</v>
      </c>
    </row>
    <row r="314" spans="1:21" x14ac:dyDescent="0.25">
      <c r="B314" s="134" t="s">
        <v>570</v>
      </c>
      <c r="C314" s="137" t="s">
        <v>597</v>
      </c>
      <c r="D314" s="135" t="s">
        <v>55</v>
      </c>
      <c r="E314" s="22" t="s">
        <v>56</v>
      </c>
      <c r="F314" s="23">
        <v>45716</v>
      </c>
      <c r="G314" s="24">
        <v>3</v>
      </c>
      <c r="H314" s="23">
        <v>45807</v>
      </c>
      <c r="I314" s="24">
        <v>3</v>
      </c>
      <c r="J314" s="23">
        <v>45898</v>
      </c>
      <c r="K314" s="24">
        <v>4</v>
      </c>
      <c r="L314" s="23">
        <v>45993</v>
      </c>
      <c r="M314" s="24">
        <v>4</v>
      </c>
      <c r="N314" s="25"/>
      <c r="O314" s="24"/>
      <c r="P314" s="24"/>
      <c r="Q314" s="24"/>
      <c r="R314" s="24"/>
      <c r="S314" s="24"/>
      <c r="T314" s="26">
        <f t="shared" si="32"/>
        <v>14</v>
      </c>
    </row>
    <row r="315" spans="1:21" x14ac:dyDescent="0.25">
      <c r="B315" s="134" t="s">
        <v>262</v>
      </c>
      <c r="C315" s="137" t="s">
        <v>263</v>
      </c>
      <c r="D315" s="135" t="s">
        <v>55</v>
      </c>
      <c r="E315" s="22" t="s">
        <v>56</v>
      </c>
      <c r="F315" s="23">
        <v>45729</v>
      </c>
      <c r="G315" s="24">
        <v>2.2999999999999998</v>
      </c>
      <c r="H315" s="23">
        <v>45813</v>
      </c>
      <c r="I315" s="24">
        <v>2.2999999999999998</v>
      </c>
      <c r="J315" s="23">
        <v>45904</v>
      </c>
      <c r="K315" s="24">
        <v>2.2999999999999998</v>
      </c>
      <c r="L315" s="23">
        <v>45995</v>
      </c>
      <c r="M315" s="24">
        <v>2.2999999999999998</v>
      </c>
      <c r="N315" s="25"/>
      <c r="O315" s="24"/>
      <c r="P315" s="24"/>
      <c r="Q315" s="24"/>
      <c r="R315" s="24"/>
      <c r="S315" s="24"/>
      <c r="T315" s="26">
        <f t="shared" si="32"/>
        <v>9.1999999999999993</v>
      </c>
    </row>
    <row r="316" spans="1:21" x14ac:dyDescent="0.25">
      <c r="B316" s="134" t="s">
        <v>683</v>
      </c>
      <c r="C316" s="137" t="s">
        <v>592</v>
      </c>
      <c r="D316" s="135" t="s">
        <v>55</v>
      </c>
      <c r="E316" s="22" t="s">
        <v>56</v>
      </c>
      <c r="F316" s="23">
        <v>45716</v>
      </c>
      <c r="G316" s="24">
        <v>1.1299999999999999</v>
      </c>
      <c r="H316" s="23">
        <v>45793</v>
      </c>
      <c r="I316" s="24">
        <v>1.1299999999999999</v>
      </c>
      <c r="J316" s="23">
        <v>45884</v>
      </c>
      <c r="K316" s="24">
        <v>1.1299999999999999</v>
      </c>
      <c r="L316" s="23">
        <v>45975</v>
      </c>
      <c r="M316" s="24">
        <v>1.19</v>
      </c>
      <c r="N316" s="25"/>
      <c r="O316" s="24"/>
      <c r="P316" s="24"/>
      <c r="Q316" s="24"/>
      <c r="R316" s="24"/>
      <c r="S316" s="24"/>
      <c r="T316" s="26">
        <f t="shared" si="32"/>
        <v>4.58</v>
      </c>
    </row>
    <row r="317" spans="1:21" x14ac:dyDescent="0.25">
      <c r="B317" s="134" t="s">
        <v>553</v>
      </c>
      <c r="C317" s="137" t="s">
        <v>580</v>
      </c>
      <c r="D317" s="135" t="s">
        <v>55</v>
      </c>
      <c r="E317" s="22" t="s">
        <v>56</v>
      </c>
      <c r="F317" s="23">
        <v>45698</v>
      </c>
      <c r="G317" s="24">
        <v>1.67</v>
      </c>
      <c r="H317" s="23">
        <v>45786</v>
      </c>
      <c r="I317" s="24">
        <v>1.68</v>
      </c>
      <c r="J317" s="23">
        <v>45877</v>
      </c>
      <c r="K317" s="24">
        <v>1.68</v>
      </c>
      <c r="L317" s="23">
        <v>45971</v>
      </c>
      <c r="M317" s="24">
        <v>1.68</v>
      </c>
      <c r="N317" s="25"/>
      <c r="O317" s="24"/>
      <c r="P317" s="24"/>
      <c r="Q317" s="24"/>
      <c r="R317" s="24"/>
      <c r="S317" s="24"/>
      <c r="T317" s="26">
        <f t="shared" si="32"/>
        <v>6.7099999999999991</v>
      </c>
    </row>
    <row r="318" spans="1:21" x14ac:dyDescent="0.25">
      <c r="A318" s="33"/>
      <c r="B318" s="134" t="s">
        <v>612</v>
      </c>
      <c r="C318" s="137" t="s">
        <v>275</v>
      </c>
      <c r="D318" s="135" t="s">
        <v>55</v>
      </c>
      <c r="E318" s="22" t="s">
        <v>56</v>
      </c>
      <c r="F318" s="23"/>
      <c r="G318" s="24"/>
      <c r="H318" s="23"/>
      <c r="I318" s="24"/>
      <c r="J318" s="23"/>
      <c r="K318" s="24"/>
      <c r="L318" s="23"/>
      <c r="M318" s="24"/>
      <c r="N318" s="25"/>
      <c r="O318" s="24"/>
      <c r="P318" s="24"/>
      <c r="Q318" s="24"/>
      <c r="R318" s="24"/>
      <c r="S318" s="24"/>
      <c r="T318" s="26">
        <f t="shared" si="32"/>
        <v>0</v>
      </c>
      <c r="U318" s="36"/>
    </row>
    <row r="319" spans="1:21" x14ac:dyDescent="0.25">
      <c r="B319" s="134" t="s">
        <v>280</v>
      </c>
      <c r="C319" s="137" t="s">
        <v>281</v>
      </c>
      <c r="D319" s="135" t="s">
        <v>55</v>
      </c>
      <c r="E319" s="22" t="s">
        <v>56</v>
      </c>
      <c r="F319" s="23">
        <v>45706</v>
      </c>
      <c r="G319" s="24">
        <v>1.24</v>
      </c>
      <c r="H319" s="23">
        <v>45804</v>
      </c>
      <c r="I319" s="24">
        <v>1.3</v>
      </c>
      <c r="J319" s="23">
        <v>45895</v>
      </c>
      <c r="K319" s="24">
        <v>1.3</v>
      </c>
      <c r="L319" s="23">
        <v>45986</v>
      </c>
      <c r="M319" s="24">
        <v>1.3</v>
      </c>
      <c r="N319" s="25"/>
      <c r="O319" s="24"/>
      <c r="P319" s="24"/>
      <c r="Q319" s="24"/>
      <c r="R319" s="24"/>
      <c r="S319" s="24"/>
      <c r="T319" s="26">
        <f t="shared" si="32"/>
        <v>5.14</v>
      </c>
    </row>
    <row r="320" spans="1:21" x14ac:dyDescent="0.25">
      <c r="B320" s="134" t="s">
        <v>282</v>
      </c>
      <c r="C320" s="137" t="s">
        <v>283</v>
      </c>
      <c r="D320" s="135" t="s">
        <v>55</v>
      </c>
      <c r="E320" s="22" t="s">
        <v>56</v>
      </c>
      <c r="F320" s="23">
        <v>45751</v>
      </c>
      <c r="G320" s="24">
        <v>1.4</v>
      </c>
      <c r="H320" s="23">
        <v>45841</v>
      </c>
      <c r="I320" s="24">
        <v>1.4</v>
      </c>
      <c r="J320" s="23">
        <v>45936</v>
      </c>
      <c r="K320" s="24">
        <v>1.5</v>
      </c>
      <c r="L320" s="23">
        <v>46028</v>
      </c>
      <c r="M320" s="24">
        <v>1.5</v>
      </c>
      <c r="N320" s="25"/>
      <c r="O320" s="24"/>
      <c r="P320" s="24"/>
      <c r="Q320" s="24"/>
      <c r="R320" s="24"/>
      <c r="S320" s="24"/>
      <c r="T320" s="26">
        <f t="shared" si="32"/>
        <v>5.8</v>
      </c>
    </row>
    <row r="321" spans="2:20" x14ac:dyDescent="0.25">
      <c r="B321" s="134" t="s">
        <v>562</v>
      </c>
      <c r="C321" s="137" t="s">
        <v>589</v>
      </c>
      <c r="D321" s="135" t="s">
        <v>55</v>
      </c>
      <c r="E321" s="22" t="s">
        <v>56</v>
      </c>
      <c r="F321" s="23">
        <v>45756</v>
      </c>
      <c r="G321" s="24">
        <v>0.76</v>
      </c>
      <c r="H321" s="23">
        <v>45847</v>
      </c>
      <c r="I321" s="24">
        <v>0.76</v>
      </c>
      <c r="J321" s="23">
        <v>45939</v>
      </c>
      <c r="K321" s="24">
        <v>0.76</v>
      </c>
      <c r="L321" s="23">
        <v>46031</v>
      </c>
      <c r="M321" s="24">
        <v>0.87</v>
      </c>
      <c r="N321" s="25"/>
      <c r="O321" s="24"/>
      <c r="P321" s="24"/>
      <c r="Q321" s="24"/>
      <c r="R321" s="24"/>
      <c r="S321" s="24"/>
      <c r="T321" s="26">
        <f t="shared" si="32"/>
        <v>3.1500000000000004</v>
      </c>
    </row>
    <row r="322" spans="2:20" x14ac:dyDescent="0.25">
      <c r="B322" s="134" t="s">
        <v>561</v>
      </c>
      <c r="C322" s="137" t="s">
        <v>588</v>
      </c>
      <c r="D322" s="135" t="s">
        <v>55</v>
      </c>
      <c r="E322" s="22" t="s">
        <v>56</v>
      </c>
      <c r="F322" s="23">
        <v>45713</v>
      </c>
      <c r="G322" s="24">
        <v>1.77</v>
      </c>
      <c r="H322" s="23">
        <v>45810</v>
      </c>
      <c r="I322" s="24">
        <v>1.77</v>
      </c>
      <c r="J322" s="23">
        <v>45902</v>
      </c>
      <c r="K322" s="24">
        <v>1.77</v>
      </c>
      <c r="L322" s="23">
        <v>45992</v>
      </c>
      <c r="M322" s="24">
        <v>1.86</v>
      </c>
      <c r="N322" s="25"/>
      <c r="O322" s="24"/>
      <c r="P322" s="24"/>
      <c r="Q322" s="24"/>
      <c r="R322" s="24"/>
      <c r="S322" s="24"/>
      <c r="T322" s="26">
        <f t="shared" si="32"/>
        <v>7.1700000000000008</v>
      </c>
    </row>
    <row r="323" spans="2:20" x14ac:dyDescent="0.25">
      <c r="B323" s="134" t="s">
        <v>558</v>
      </c>
      <c r="C323" s="137" t="s">
        <v>585</v>
      </c>
      <c r="D323" s="135" t="s">
        <v>55</v>
      </c>
      <c r="E323" s="22" t="s">
        <v>56</v>
      </c>
      <c r="F323" s="23">
        <v>45744</v>
      </c>
      <c r="G323" s="24">
        <v>0.7</v>
      </c>
      <c r="H323" s="23">
        <v>45835</v>
      </c>
      <c r="I323" s="24">
        <v>0.71</v>
      </c>
      <c r="J323" s="23">
        <v>45926</v>
      </c>
      <c r="K323" s="24">
        <v>0.71</v>
      </c>
      <c r="L323" s="23">
        <v>46017</v>
      </c>
      <c r="M323" s="24">
        <v>0.71</v>
      </c>
      <c r="N323" s="25"/>
      <c r="O323" s="24"/>
      <c r="P323" s="24"/>
      <c r="Q323" s="24"/>
      <c r="R323" s="24"/>
      <c r="S323" s="24"/>
      <c r="T323" s="26">
        <f t="shared" si="32"/>
        <v>2.83</v>
      </c>
    </row>
    <row r="324" spans="2:20" x14ac:dyDescent="0.25">
      <c r="B324" s="134" t="s">
        <v>324</v>
      </c>
      <c r="C324" s="137" t="s">
        <v>325</v>
      </c>
      <c r="D324" s="135" t="s">
        <v>55</v>
      </c>
      <c r="E324" s="22" t="s">
        <v>56</v>
      </c>
      <c r="F324" s="23">
        <v>45733</v>
      </c>
      <c r="G324" s="24">
        <v>0.81</v>
      </c>
      <c r="H324" s="23">
        <v>45824</v>
      </c>
      <c r="I324" s="24">
        <v>0.81</v>
      </c>
      <c r="J324" s="23">
        <v>45915</v>
      </c>
      <c r="K324" s="24">
        <v>0.81</v>
      </c>
      <c r="L324" s="23">
        <v>46006</v>
      </c>
      <c r="M324" s="24">
        <v>0.85</v>
      </c>
      <c r="N324" s="25"/>
      <c r="O324" s="24"/>
      <c r="P324" s="24"/>
      <c r="Q324" s="24"/>
      <c r="R324" s="24"/>
      <c r="S324" s="24"/>
      <c r="T324" s="26">
        <f>G324+I324+K324+M324+O324</f>
        <v>3.2800000000000002</v>
      </c>
    </row>
    <row r="325" spans="2:20" x14ac:dyDescent="0.25">
      <c r="B325" s="134" t="s">
        <v>331</v>
      </c>
      <c r="C325" s="137" t="s">
        <v>332</v>
      </c>
      <c r="D325" s="135" t="s">
        <v>55</v>
      </c>
      <c r="E325" s="22" t="s">
        <v>56</v>
      </c>
      <c r="F325" s="23">
        <v>45708</v>
      </c>
      <c r="G325" s="24">
        <v>0.83</v>
      </c>
      <c r="H325" s="23">
        <v>45792</v>
      </c>
      <c r="I325" s="24">
        <v>0.83</v>
      </c>
      <c r="J325" s="23">
        <v>45890</v>
      </c>
      <c r="K325" s="24">
        <v>0.83</v>
      </c>
      <c r="L325" s="23">
        <v>45981</v>
      </c>
      <c r="M325" s="24">
        <v>0.91</v>
      </c>
      <c r="N325" s="25"/>
      <c r="O325" s="24"/>
      <c r="P325" s="24"/>
      <c r="Q325" s="24"/>
      <c r="R325" s="24"/>
      <c r="S325" s="24"/>
      <c r="T325" s="26">
        <f t="shared" si="32"/>
        <v>3.4</v>
      </c>
    </row>
    <row r="326" spans="2:20" x14ac:dyDescent="0.25">
      <c r="B326" s="134" t="s">
        <v>555</v>
      </c>
      <c r="C326" s="137" t="s">
        <v>582</v>
      </c>
      <c r="D326" s="138" t="s">
        <v>55</v>
      </c>
      <c r="E326" s="68" t="s">
        <v>56</v>
      </c>
      <c r="F326" s="23">
        <v>45757</v>
      </c>
      <c r="G326" s="24">
        <v>0.5</v>
      </c>
      <c r="H326" s="23">
        <v>45848</v>
      </c>
      <c r="I326" s="24">
        <v>0.5</v>
      </c>
      <c r="J326" s="23">
        <v>45939</v>
      </c>
      <c r="K326" s="24">
        <v>0.5</v>
      </c>
      <c r="L326" s="23">
        <v>46031</v>
      </c>
      <c r="M326" s="24">
        <v>0.5</v>
      </c>
      <c r="N326" s="25"/>
      <c r="O326" s="24"/>
      <c r="P326" s="24"/>
      <c r="Q326" s="24"/>
      <c r="R326" s="24"/>
      <c r="S326" s="24"/>
      <c r="T326" s="26">
        <f t="shared" si="32"/>
        <v>2</v>
      </c>
    </row>
    <row r="327" spans="2:20" x14ac:dyDescent="0.25">
      <c r="B327" s="134" t="s">
        <v>551</v>
      </c>
      <c r="C327" s="137" t="s">
        <v>578</v>
      </c>
      <c r="D327" s="135" t="s">
        <v>55</v>
      </c>
      <c r="E327" s="22" t="s">
        <v>56</v>
      </c>
      <c r="F327" s="23">
        <v>45723</v>
      </c>
      <c r="G327" s="24">
        <v>1.355</v>
      </c>
      <c r="H327" s="23">
        <v>45814</v>
      </c>
      <c r="I327" s="24">
        <v>1.4225000000000001</v>
      </c>
      <c r="J327" s="23">
        <v>45905</v>
      </c>
      <c r="K327" s="24">
        <v>1.4225000000000001</v>
      </c>
      <c r="L327" s="23">
        <v>45996</v>
      </c>
      <c r="M327" s="24">
        <v>1.4225000000000001</v>
      </c>
      <c r="N327" s="25"/>
      <c r="O327" s="24"/>
      <c r="P327" s="24"/>
      <c r="Q327" s="24"/>
      <c r="R327" s="24"/>
      <c r="S327" s="24"/>
      <c r="T327" s="26">
        <f t="shared" si="32"/>
        <v>5.6225000000000005</v>
      </c>
    </row>
    <row r="328" spans="2:20" x14ac:dyDescent="0.25">
      <c r="B328" s="134" t="s">
        <v>363</v>
      </c>
      <c r="C328" s="137" t="s">
        <v>364</v>
      </c>
      <c r="D328" s="135" t="s">
        <v>55</v>
      </c>
      <c r="E328" s="22" t="s">
        <v>56</v>
      </c>
      <c r="F328" s="23">
        <v>45681</v>
      </c>
      <c r="G328" s="24">
        <v>0.43</v>
      </c>
      <c r="H328" s="23">
        <v>45786</v>
      </c>
      <c r="I328" s="24">
        <v>0.43</v>
      </c>
      <c r="J328" s="23">
        <v>45863</v>
      </c>
      <c r="K328" s="24">
        <v>0.43</v>
      </c>
      <c r="L328" s="23">
        <v>45968</v>
      </c>
      <c r="M328" s="24">
        <v>0.43</v>
      </c>
      <c r="N328" s="25"/>
      <c r="O328" s="24"/>
      <c r="P328" s="24"/>
      <c r="Q328" s="24"/>
      <c r="R328" s="24"/>
      <c r="S328" s="24"/>
      <c r="T328" s="26">
        <f t="shared" si="32"/>
        <v>1.72</v>
      </c>
    </row>
    <row r="329" spans="2:20" x14ac:dyDescent="0.25">
      <c r="B329" s="134" t="s">
        <v>606</v>
      </c>
      <c r="C329" s="137" t="s">
        <v>365</v>
      </c>
      <c r="D329" s="135" t="s">
        <v>55</v>
      </c>
      <c r="E329" s="22" t="s">
        <v>56</v>
      </c>
      <c r="F329" s="23">
        <v>45736</v>
      </c>
      <c r="G329" s="24">
        <v>1.35</v>
      </c>
      <c r="H329" s="23">
        <v>45835</v>
      </c>
      <c r="I329" s="24">
        <v>1.35</v>
      </c>
      <c r="J329" s="23">
        <v>45933</v>
      </c>
      <c r="K329" s="24">
        <v>1.47</v>
      </c>
      <c r="L329" s="23">
        <v>46017</v>
      </c>
      <c r="M329" s="24">
        <v>1.47</v>
      </c>
      <c r="N329" s="25"/>
      <c r="O329" s="24"/>
      <c r="P329" s="24"/>
      <c r="Q329" s="24"/>
      <c r="R329" s="24"/>
      <c r="S329" s="24"/>
      <c r="T329" s="26">
        <f t="shared" si="32"/>
        <v>5.64</v>
      </c>
    </row>
    <row r="330" spans="2:20" x14ac:dyDescent="0.25">
      <c r="B330" s="134" t="s">
        <v>355</v>
      </c>
      <c r="C330" s="137" t="s">
        <v>356</v>
      </c>
      <c r="D330" s="135" t="s">
        <v>55</v>
      </c>
      <c r="E330" s="22" t="s">
        <v>56</v>
      </c>
      <c r="F330" s="23">
        <v>45681</v>
      </c>
      <c r="G330" s="24">
        <v>1.0065</v>
      </c>
      <c r="H330" s="23">
        <v>45768</v>
      </c>
      <c r="I330" s="24">
        <v>1.0568</v>
      </c>
      <c r="J330" s="23">
        <v>45856</v>
      </c>
      <c r="K330" s="24">
        <v>1.0568</v>
      </c>
      <c r="L330" s="23">
        <v>45954</v>
      </c>
      <c r="M330" s="24">
        <v>1.0568</v>
      </c>
      <c r="N330" s="25"/>
      <c r="O330" s="24"/>
      <c r="P330" s="24"/>
      <c r="Q330" s="24"/>
      <c r="R330" s="24"/>
      <c r="S330" s="24"/>
      <c r="T330" s="26">
        <f t="shared" si="32"/>
        <v>4.1768999999999998</v>
      </c>
    </row>
    <row r="331" spans="2:20" x14ac:dyDescent="0.25">
      <c r="B331" s="134" t="s">
        <v>572</v>
      </c>
      <c r="C331" s="137" t="s">
        <v>599</v>
      </c>
      <c r="D331" s="135" t="s">
        <v>55</v>
      </c>
      <c r="E331" s="22" t="s">
        <v>56</v>
      </c>
      <c r="F331" s="23">
        <v>45722</v>
      </c>
      <c r="G331" s="24">
        <v>0.85</v>
      </c>
      <c r="H331" s="23">
        <v>45813</v>
      </c>
      <c r="I331" s="24">
        <v>0.89</v>
      </c>
      <c r="J331" s="23">
        <v>45904</v>
      </c>
      <c r="K331" s="24">
        <v>0.89</v>
      </c>
      <c r="L331" s="23">
        <v>45995</v>
      </c>
      <c r="M331" s="24">
        <v>0.89</v>
      </c>
      <c r="N331" s="25"/>
      <c r="O331" s="24"/>
      <c r="P331" s="140"/>
      <c r="Q331" s="140"/>
      <c r="R331" s="140"/>
      <c r="S331" s="140"/>
      <c r="T331" s="26">
        <f t="shared" si="32"/>
        <v>3.52</v>
      </c>
    </row>
    <row r="332" spans="2:20" x14ac:dyDescent="0.25">
      <c r="B332" s="134" t="s">
        <v>937</v>
      </c>
      <c r="C332" s="137" t="s">
        <v>600</v>
      </c>
      <c r="D332" s="135" t="s">
        <v>55</v>
      </c>
      <c r="E332" s="22" t="s">
        <v>56</v>
      </c>
      <c r="F332" s="23">
        <v>45709</v>
      </c>
      <c r="G332" s="24">
        <v>0.63</v>
      </c>
      <c r="H332" s="23">
        <v>45800</v>
      </c>
      <c r="I332" s="24">
        <v>0.68</v>
      </c>
      <c r="J332" s="23">
        <v>45884</v>
      </c>
      <c r="K332" s="24">
        <v>0.68</v>
      </c>
      <c r="L332" s="23">
        <v>45982</v>
      </c>
      <c r="M332" s="24">
        <v>0.68</v>
      </c>
      <c r="N332" s="25"/>
      <c r="O332" s="24"/>
      <c r="P332" s="24"/>
      <c r="Q332" s="24"/>
      <c r="R332" s="24"/>
      <c r="S332" s="24"/>
      <c r="T332" s="26">
        <f>G332+I332+K332+M332+O332</f>
        <v>2.6700000000000004</v>
      </c>
    </row>
    <row r="333" spans="2:20" x14ac:dyDescent="0.25">
      <c r="B333" s="134" t="s">
        <v>559</v>
      </c>
      <c r="C333" s="137" t="s">
        <v>586</v>
      </c>
      <c r="D333" s="135" t="s">
        <v>55</v>
      </c>
      <c r="E333" s="22" t="s">
        <v>56</v>
      </c>
      <c r="F333" s="23">
        <v>45693</v>
      </c>
      <c r="G333" s="24">
        <v>0.28499999999999998</v>
      </c>
      <c r="H333" s="23">
        <v>45812</v>
      </c>
      <c r="I333" s="24">
        <v>0.28499999999999998</v>
      </c>
      <c r="J333" s="23">
        <v>45903</v>
      </c>
      <c r="K333" s="24">
        <v>0.28499999999999998</v>
      </c>
      <c r="L333" s="23">
        <v>45994</v>
      </c>
      <c r="M333" s="24">
        <v>0.28499999999999998</v>
      </c>
      <c r="N333" s="25"/>
      <c r="O333" s="24"/>
      <c r="P333" s="24"/>
      <c r="Q333" s="24"/>
      <c r="R333" s="24"/>
      <c r="S333" s="24"/>
      <c r="T333" s="26">
        <f t="shared" si="32"/>
        <v>1.1399999999999999</v>
      </c>
    </row>
    <row r="334" spans="2:20" x14ac:dyDescent="0.25">
      <c r="B334" s="134" t="s">
        <v>443</v>
      </c>
      <c r="C334" s="137" t="s">
        <v>444</v>
      </c>
      <c r="D334" s="135" t="s">
        <v>55</v>
      </c>
      <c r="E334" s="22" t="s">
        <v>56</v>
      </c>
      <c r="F334" s="23">
        <v>45706</v>
      </c>
      <c r="G334" s="24">
        <v>0.72</v>
      </c>
      <c r="H334" s="23">
        <v>45796</v>
      </c>
      <c r="I334" s="24">
        <v>0.74</v>
      </c>
      <c r="J334" s="23">
        <v>45887</v>
      </c>
      <c r="K334" s="24">
        <v>0.74</v>
      </c>
      <c r="L334" s="23">
        <v>45978</v>
      </c>
      <c r="M334" s="24">
        <v>0.74</v>
      </c>
      <c r="N334" s="25"/>
      <c r="O334" s="24"/>
      <c r="P334" s="24"/>
      <c r="Q334" s="24"/>
      <c r="R334" s="24"/>
      <c r="S334" s="24"/>
      <c r="T334" s="26">
        <f t="shared" si="32"/>
        <v>2.9400000000000004</v>
      </c>
    </row>
    <row r="335" spans="2:20" x14ac:dyDescent="0.25">
      <c r="B335" s="134" t="s">
        <v>571</v>
      </c>
      <c r="C335" s="137" t="s">
        <v>598</v>
      </c>
      <c r="D335" s="135" t="s">
        <v>55</v>
      </c>
      <c r="E335" s="22" t="s">
        <v>56</v>
      </c>
      <c r="F335" s="23">
        <v>45702</v>
      </c>
      <c r="G335" s="24">
        <v>0.61</v>
      </c>
      <c r="H335" s="23">
        <v>45793</v>
      </c>
      <c r="I335" s="24">
        <v>0.61</v>
      </c>
      <c r="J335" s="23">
        <v>45884</v>
      </c>
      <c r="K335" s="24">
        <v>0.61</v>
      </c>
      <c r="L335" s="23">
        <v>45975</v>
      </c>
      <c r="M335" s="24">
        <v>0.62</v>
      </c>
      <c r="N335" s="25"/>
      <c r="O335" s="24"/>
      <c r="P335" s="24"/>
      <c r="Q335" s="24"/>
      <c r="R335" s="24"/>
      <c r="S335" s="24"/>
      <c r="T335" s="26">
        <f t="shared" si="32"/>
        <v>2.4500000000000002</v>
      </c>
    </row>
    <row r="336" spans="2:20" x14ac:dyDescent="0.25">
      <c r="B336" s="134" t="s">
        <v>576</v>
      </c>
      <c r="C336" s="137" t="s">
        <v>603</v>
      </c>
      <c r="D336" s="135" t="s">
        <v>55</v>
      </c>
      <c r="E336" s="22" t="s">
        <v>56</v>
      </c>
      <c r="F336" s="23">
        <v>45688</v>
      </c>
      <c r="G336" s="24">
        <v>1.36</v>
      </c>
      <c r="H336" s="23">
        <v>45777</v>
      </c>
      <c r="I336" s="24">
        <v>1.36</v>
      </c>
      <c r="J336" s="23">
        <v>45869</v>
      </c>
      <c r="K336" s="24">
        <v>1.36</v>
      </c>
      <c r="L336" s="23">
        <v>45961</v>
      </c>
      <c r="M336" s="24">
        <v>1.42</v>
      </c>
      <c r="N336" s="25"/>
      <c r="O336" s="24"/>
      <c r="P336" s="24"/>
      <c r="Q336" s="24"/>
      <c r="R336" s="24"/>
      <c r="S336" s="24"/>
      <c r="T336" s="26">
        <f t="shared" si="32"/>
        <v>5.5</v>
      </c>
    </row>
    <row r="337" spans="2:20" x14ac:dyDescent="0.25">
      <c r="B337" s="134" t="s">
        <v>569</v>
      </c>
      <c r="C337" s="137" t="s">
        <v>596</v>
      </c>
      <c r="D337" s="135" t="s">
        <v>55</v>
      </c>
      <c r="E337" s="22" t="s">
        <v>56</v>
      </c>
      <c r="F337" s="23">
        <v>45716</v>
      </c>
      <c r="G337" s="24">
        <v>1.34</v>
      </c>
      <c r="H337" s="23">
        <v>45807</v>
      </c>
      <c r="I337" s="24">
        <v>1.34</v>
      </c>
      <c r="J337" s="23">
        <v>45898</v>
      </c>
      <c r="K337" s="24">
        <v>1.38</v>
      </c>
      <c r="L337" s="23">
        <v>45996</v>
      </c>
      <c r="M337" s="24">
        <v>1.38</v>
      </c>
      <c r="N337" s="25"/>
      <c r="O337" s="24"/>
      <c r="P337" s="24"/>
      <c r="Q337" s="24"/>
      <c r="R337" s="24"/>
      <c r="S337" s="24"/>
      <c r="T337" s="26">
        <f t="shared" si="32"/>
        <v>5.44</v>
      </c>
    </row>
    <row r="338" spans="2:20" x14ac:dyDescent="0.25">
      <c r="B338" s="134" t="s">
        <v>552</v>
      </c>
      <c r="C338" s="137" t="s">
        <v>579</v>
      </c>
      <c r="D338" s="135" t="s">
        <v>55</v>
      </c>
      <c r="E338" s="22" t="s">
        <v>56</v>
      </c>
      <c r="F338" s="23">
        <v>45726</v>
      </c>
      <c r="G338" s="24">
        <v>2.1</v>
      </c>
      <c r="H338" s="23">
        <v>45824</v>
      </c>
      <c r="I338" s="24">
        <v>2.21</v>
      </c>
      <c r="J338" s="23">
        <v>45915</v>
      </c>
      <c r="K338" s="24">
        <v>2.21</v>
      </c>
      <c r="L338" s="23">
        <v>45999</v>
      </c>
      <c r="M338" s="24">
        <v>2.21</v>
      </c>
      <c r="N338" s="25"/>
      <c r="O338" s="24"/>
      <c r="P338" s="24"/>
      <c r="Q338" s="24"/>
      <c r="R338" s="24"/>
      <c r="S338" s="24"/>
      <c r="T338" s="26">
        <f t="shared" si="32"/>
        <v>8.73</v>
      </c>
    </row>
    <row r="339" spans="2:20" x14ac:dyDescent="0.25">
      <c r="B339" s="134" t="s">
        <v>574</v>
      </c>
      <c r="C339" s="137" t="s">
        <v>601</v>
      </c>
      <c r="D339" s="135" t="s">
        <v>55</v>
      </c>
      <c r="E339" s="22" t="s">
        <v>56</v>
      </c>
      <c r="F339" s="23">
        <v>45747</v>
      </c>
      <c r="G339" s="24">
        <v>0.5</v>
      </c>
      <c r="H339" s="23">
        <v>45838</v>
      </c>
      <c r="I339" s="24">
        <v>0.5</v>
      </c>
      <c r="J339" s="23">
        <v>45930</v>
      </c>
      <c r="K339" s="24">
        <v>0.52</v>
      </c>
      <c r="L339" s="23">
        <v>46022</v>
      </c>
      <c r="M339" s="24">
        <v>0.52</v>
      </c>
      <c r="N339" s="25"/>
      <c r="O339" s="24"/>
      <c r="P339" s="24"/>
      <c r="Q339" s="24"/>
      <c r="R339" s="24"/>
      <c r="S339" s="24"/>
      <c r="T339" s="26">
        <f t="shared" si="32"/>
        <v>2.04</v>
      </c>
    </row>
    <row r="340" spans="2:20" x14ac:dyDescent="0.25">
      <c r="B340" s="134" t="s">
        <v>518</v>
      </c>
      <c r="C340" s="137" t="s">
        <v>519</v>
      </c>
      <c r="D340" s="135" t="s">
        <v>55</v>
      </c>
      <c r="E340" s="22" t="s">
        <v>56</v>
      </c>
      <c r="F340" s="23">
        <v>45757</v>
      </c>
      <c r="G340" s="24">
        <v>0.67749999999999999</v>
      </c>
      <c r="H340" s="23">
        <v>45848</v>
      </c>
      <c r="I340" s="24">
        <v>0.67749999999999999</v>
      </c>
      <c r="J340" s="23">
        <v>45940</v>
      </c>
      <c r="K340" s="24">
        <v>0.69</v>
      </c>
      <c r="L340" s="23">
        <v>46034</v>
      </c>
      <c r="M340" s="24">
        <v>0.69</v>
      </c>
      <c r="N340" s="25"/>
      <c r="O340" s="24"/>
      <c r="P340" s="24"/>
      <c r="Q340" s="24"/>
      <c r="R340" s="24"/>
      <c r="S340" s="24"/>
      <c r="T340" s="26">
        <f t="shared" si="32"/>
        <v>2.7349999999999999</v>
      </c>
    </row>
    <row r="341" spans="2:20" x14ac:dyDescent="0.25">
      <c r="B341" s="134" t="s">
        <v>522</v>
      </c>
      <c r="C341" s="137" t="s">
        <v>523</v>
      </c>
      <c r="D341" s="135" t="s">
        <v>55</v>
      </c>
      <c r="E341" s="22" t="s">
        <v>56</v>
      </c>
      <c r="F341" s="23">
        <v>45699</v>
      </c>
      <c r="G341" s="24">
        <v>0.59</v>
      </c>
      <c r="H341" s="23">
        <v>45790</v>
      </c>
      <c r="I341" s="24">
        <v>0.59</v>
      </c>
      <c r="J341" s="23">
        <v>45881</v>
      </c>
      <c r="K341" s="24">
        <v>0.59</v>
      </c>
      <c r="L341" s="23">
        <v>45973</v>
      </c>
      <c r="M341" s="24">
        <v>0.67</v>
      </c>
      <c r="N341" s="25"/>
      <c r="O341" s="24"/>
      <c r="P341" s="24"/>
      <c r="Q341" s="24"/>
      <c r="R341" s="24"/>
      <c r="S341" s="24"/>
      <c r="T341" s="26">
        <f t="shared" si="32"/>
        <v>2.44</v>
      </c>
    </row>
    <row r="342" spans="2:20" x14ac:dyDescent="0.25">
      <c r="B342" s="134" t="s">
        <v>631</v>
      </c>
      <c r="C342" s="137" t="s">
        <v>587</v>
      </c>
      <c r="D342" s="135" t="s">
        <v>55</v>
      </c>
      <c r="E342" s="22" t="s">
        <v>56</v>
      </c>
      <c r="F342" s="23">
        <v>45737</v>
      </c>
      <c r="G342" s="24">
        <v>0.23499999999999999</v>
      </c>
      <c r="H342" s="23">
        <v>45786</v>
      </c>
      <c r="I342" s="24">
        <v>0.23499999999999999</v>
      </c>
      <c r="J342" s="23">
        <v>45884</v>
      </c>
      <c r="K342" s="24">
        <v>0.23499999999999999</v>
      </c>
      <c r="L342" s="23">
        <v>46003</v>
      </c>
      <c r="M342" s="24">
        <v>0.23499999999999999</v>
      </c>
      <c r="N342" s="25"/>
      <c r="O342" s="24"/>
      <c r="P342" s="24"/>
      <c r="Q342" s="24"/>
      <c r="R342" s="24"/>
      <c r="S342" s="24"/>
      <c r="T342" s="26">
        <f t="shared" si="32"/>
        <v>0.94</v>
      </c>
    </row>
    <row r="343" spans="2:20" x14ac:dyDescent="0.25">
      <c r="B343" s="134" t="s">
        <v>536</v>
      </c>
      <c r="C343" s="137" t="s">
        <v>537</v>
      </c>
      <c r="D343" s="135" t="s">
        <v>55</v>
      </c>
      <c r="E343" s="22" t="s">
        <v>56</v>
      </c>
      <c r="F343" s="23">
        <v>45832</v>
      </c>
      <c r="G343" s="24">
        <v>0.5</v>
      </c>
      <c r="H343" s="23">
        <v>46006</v>
      </c>
      <c r="I343" s="24">
        <v>0.75</v>
      </c>
      <c r="J343" s="23"/>
      <c r="K343" s="24"/>
      <c r="L343" s="23"/>
      <c r="M343" s="24"/>
      <c r="N343" s="25"/>
      <c r="O343" s="24"/>
      <c r="P343" s="24"/>
      <c r="Q343" s="24"/>
      <c r="R343" s="24"/>
      <c r="S343" s="24"/>
      <c r="T343" s="26">
        <f t="shared" si="32"/>
        <v>1.25</v>
      </c>
    </row>
    <row r="344" spans="2:20" x14ac:dyDescent="0.25">
      <c r="B344" s="134" t="s">
        <v>538</v>
      </c>
      <c r="C344" s="137" t="s">
        <v>539</v>
      </c>
      <c r="D344" s="135" t="s">
        <v>55</v>
      </c>
      <c r="E344" s="22" t="s">
        <v>56</v>
      </c>
      <c r="F344" s="23">
        <v>45695</v>
      </c>
      <c r="G344" s="24">
        <v>0.4</v>
      </c>
      <c r="H344" s="23">
        <v>45786</v>
      </c>
      <c r="I344" s="24">
        <v>0.4</v>
      </c>
      <c r="J344" s="23">
        <v>45877</v>
      </c>
      <c r="K344" s="24">
        <v>0.45</v>
      </c>
      <c r="L344" s="23">
        <v>45968</v>
      </c>
      <c r="M344" s="24">
        <v>0.45</v>
      </c>
      <c r="N344" s="25"/>
      <c r="O344" s="24"/>
      <c r="P344" s="24"/>
      <c r="Q344" s="24"/>
      <c r="R344" s="24"/>
      <c r="S344" s="24"/>
      <c r="T344" s="26">
        <f t="shared" si="32"/>
        <v>1.7</v>
      </c>
    </row>
  </sheetData>
  <sheetProtection algorithmName="SHA-512" hashValue="6ikeu3DIVRYlO5ufW4/gapCIaQayAW3/D1pAdXoPrlFe34AS7Re4Y0gerrbuxEONwgYt+9gWKnQ4kVW4BL7qcA==" saltValue="5lYcpxe/gsuokzcmN6TxWw==" spinCount="100000" sheet="1" objects="1" scenarios="1"/>
  <mergeCells count="4">
    <mergeCell ref="H9:I9"/>
    <mergeCell ref="J9:K9"/>
    <mergeCell ref="L9:M9"/>
    <mergeCell ref="F11:T11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38B939-610F-4A7F-BD52-78A4E5C9B47A}">
  <dimension ref="A1:U344"/>
  <sheetViews>
    <sheetView showGridLines="0" zoomScale="85" zoomScaleNormal="85" workbookViewId="0">
      <pane xSplit="1" ySplit="12" topLeftCell="B190" activePane="bottomRight" state="frozen"/>
      <selection pane="topRight" activeCell="B1" sqref="B1"/>
      <selection pane="bottomLeft" activeCell="A13" sqref="A13"/>
      <selection pane="bottomRight" activeCell="G200" sqref="G200"/>
    </sheetView>
  </sheetViews>
  <sheetFormatPr defaultColWidth="0" defaultRowHeight="15" x14ac:dyDescent="0.25"/>
  <cols>
    <col min="1" max="1" width="3" customWidth="1"/>
    <col min="2" max="2" width="46.5703125" bestFit="1" customWidth="1"/>
    <col min="3" max="3" width="13.7109375" bestFit="1" customWidth="1"/>
    <col min="4" max="4" width="15.5703125" bestFit="1" customWidth="1"/>
    <col min="5" max="5" width="9.28515625" customWidth="1"/>
    <col min="6" max="6" width="9.7109375" customWidth="1"/>
    <col min="7" max="7" width="10.5703125" bestFit="1" customWidth="1"/>
    <col min="8" max="8" width="9.7109375" customWidth="1"/>
    <col min="9" max="9" width="9.28515625" customWidth="1"/>
    <col min="10" max="10" width="9.5703125" bestFit="1" customWidth="1"/>
    <col min="11" max="11" width="9.28515625" customWidth="1"/>
    <col min="12" max="12" width="10" customWidth="1"/>
    <col min="13" max="13" width="9.28515625" customWidth="1"/>
    <col min="14" max="14" width="10" customWidth="1"/>
    <col min="15" max="15" width="9.28515625" customWidth="1"/>
    <col min="16" max="16" width="0.5703125" customWidth="1"/>
    <col min="17" max="20" width="10.7109375" customWidth="1"/>
    <col min="21" max="21" width="3" customWidth="1"/>
    <col min="22" max="16384" width="9.28515625" hidden="1"/>
  </cols>
  <sheetData>
    <row r="1" spans="2:20" x14ac:dyDescent="0.25"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2:20" x14ac:dyDescent="0.25"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2:20" x14ac:dyDescent="0.25"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2:20" x14ac:dyDescent="0.25"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</row>
    <row r="5" spans="2:20" x14ac:dyDescent="0.25"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2:20" x14ac:dyDescent="0.25"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2:20" x14ac:dyDescent="0.25"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2:20" ht="49.5" customHeight="1" x14ac:dyDescent="0.25"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2:20" ht="15" customHeight="1" x14ac:dyDescent="0.25">
      <c r="H9" s="178"/>
      <c r="I9" s="178"/>
      <c r="J9" s="179"/>
      <c r="K9" s="179"/>
      <c r="L9" s="180" t="s">
        <v>0</v>
      </c>
      <c r="M9" s="180"/>
      <c r="N9" s="1"/>
      <c r="O9" s="2" t="s">
        <v>1</v>
      </c>
      <c r="P9" s="2"/>
      <c r="Q9" s="2"/>
      <c r="R9" s="2"/>
      <c r="S9" s="2"/>
      <c r="T9" s="3">
        <v>45672</v>
      </c>
    </row>
    <row r="10" spans="2:20" ht="3.75" customHeight="1" x14ac:dyDescent="0.25">
      <c r="F10" s="1"/>
      <c r="G10" s="1"/>
      <c r="H10" s="1"/>
      <c r="I10" s="1"/>
      <c r="J10" s="1"/>
      <c r="K10" s="1"/>
      <c r="L10" s="1"/>
      <c r="M10" s="1"/>
      <c r="N10" s="1"/>
      <c r="O10" s="2"/>
      <c r="P10" s="2"/>
      <c r="Q10" s="2"/>
      <c r="R10" s="2"/>
      <c r="S10" s="2"/>
      <c r="T10" s="3">
        <v>45600</v>
      </c>
    </row>
    <row r="11" spans="2:20" ht="50.25" customHeight="1" x14ac:dyDescent="0.25">
      <c r="B11" s="4" t="s">
        <v>2</v>
      </c>
      <c r="C11" s="5"/>
      <c r="D11" s="5"/>
      <c r="E11" s="5"/>
      <c r="F11" s="181" t="s">
        <v>939</v>
      </c>
      <c r="G11" s="181"/>
      <c r="H11" s="181"/>
      <c r="I11" s="181"/>
      <c r="J11" s="181"/>
      <c r="K11" s="181"/>
      <c r="L11" s="181"/>
      <c r="M11" s="181"/>
      <c r="N11" s="181"/>
      <c r="O11" s="181"/>
      <c r="P11" s="181"/>
      <c r="Q11" s="181"/>
      <c r="R11" s="181"/>
      <c r="S11" s="181"/>
      <c r="T11" s="177"/>
    </row>
    <row r="12" spans="2:20" x14ac:dyDescent="0.25">
      <c r="B12" s="7" t="s">
        <v>4</v>
      </c>
      <c r="C12" s="7" t="s">
        <v>5</v>
      </c>
      <c r="D12" s="7" t="s">
        <v>6</v>
      </c>
      <c r="E12" s="7" t="s">
        <v>7</v>
      </c>
      <c r="F12" s="8" t="s">
        <v>8</v>
      </c>
      <c r="G12" s="8"/>
      <c r="H12" s="8" t="s">
        <v>9</v>
      </c>
      <c r="I12" s="8"/>
      <c r="J12" s="8" t="s">
        <v>10</v>
      </c>
      <c r="K12" s="8"/>
      <c r="L12" s="8" t="s">
        <v>11</v>
      </c>
      <c r="M12" s="8"/>
      <c r="N12" s="8" t="s">
        <v>605</v>
      </c>
      <c r="O12" s="8"/>
      <c r="P12" s="8"/>
      <c r="Q12" s="8" t="s">
        <v>706</v>
      </c>
      <c r="R12" s="8" t="s">
        <v>707</v>
      </c>
      <c r="S12" s="8" t="s">
        <v>708</v>
      </c>
      <c r="T12" s="8" t="s">
        <v>705</v>
      </c>
    </row>
    <row r="13" spans="2:20" ht="6.75" customHeight="1" x14ac:dyDescent="0.25">
      <c r="B13" s="9"/>
      <c r="C13" s="9"/>
      <c r="D13" s="9"/>
      <c r="E13" s="10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</row>
    <row r="14" spans="2:20" x14ac:dyDescent="0.25">
      <c r="B14" s="117" t="s">
        <v>684</v>
      </c>
      <c r="C14" s="136" t="s">
        <v>18</v>
      </c>
      <c r="D14" s="14" t="s">
        <v>15</v>
      </c>
      <c r="E14" s="14" t="s">
        <v>16</v>
      </c>
      <c r="F14" s="15">
        <v>45439</v>
      </c>
      <c r="G14" s="16">
        <v>1.1299999999999999</v>
      </c>
      <c r="H14" s="15"/>
      <c r="I14" s="16"/>
      <c r="J14" s="15"/>
      <c r="K14" s="16"/>
      <c r="L14" s="15"/>
      <c r="M14" s="63"/>
      <c r="N14" s="17"/>
      <c r="O14" s="16"/>
      <c r="P14" s="16"/>
      <c r="Q14" s="152">
        <f t="shared" ref="Q14:Q77" si="0">IF(F14&lt;=Exp24Q1,G14,0)+IF(H14&lt;=Exp24Q1,I14,0)+IF(J14&lt;=Exp24Q1,K14,0)+IF(L14&lt;=Exp24Q1,M14,0)+IF(N14&lt;=Exp24Q1,O14,0)</f>
        <v>0</v>
      </c>
      <c r="R14" s="152">
        <f t="shared" ref="R14:R74" si="1">IF(F14&lt;=Exp24H1,G14,0)+IF(H14&lt;=Exp24H1,I14,0)+IF(J14&lt;=Exp24H1,K14,0)+IF(L14&lt;=Exp24H1,M14,0)+IF(N14&lt;=Exp24H1,O14,0)</f>
        <v>1.1299999999999999</v>
      </c>
      <c r="S14" s="152">
        <f t="shared" ref="S14:S74" si="2">IF(F14&lt;=Exp24Q3,G14,0)+IF(H14&lt;=Exp24Q3,I14,0)+IF(J14&lt;=Exp24Q3,K14,0)+IF(L14&lt;=Exp24Q3,M14,0)+IF(N14&lt;=Exp24Q3,O14,0)</f>
        <v>1.1299999999999999</v>
      </c>
      <c r="T14" s="18">
        <f t="shared" ref="T14:T82" si="3">G14+I14+K14+M14+O14</f>
        <v>1.1299999999999999</v>
      </c>
    </row>
    <row r="15" spans="2:20" x14ac:dyDescent="0.25">
      <c r="B15" s="117" t="s">
        <v>19</v>
      </c>
      <c r="C15" s="136" t="s">
        <v>20</v>
      </c>
      <c r="D15" s="14" t="s">
        <v>15</v>
      </c>
      <c r="E15" s="14" t="s">
        <v>21</v>
      </c>
      <c r="F15" s="15">
        <v>45376</v>
      </c>
      <c r="G15" s="16">
        <v>0.87</v>
      </c>
      <c r="H15" s="15"/>
      <c r="I15" s="16"/>
      <c r="J15" s="15"/>
      <c r="K15" s="16"/>
      <c r="L15" s="15"/>
      <c r="M15" s="63"/>
      <c r="N15" s="17"/>
      <c r="O15" s="16"/>
      <c r="P15" s="16"/>
      <c r="Q15" s="152">
        <f t="shared" si="0"/>
        <v>0</v>
      </c>
      <c r="R15" s="152">
        <f t="shared" si="1"/>
        <v>0.87</v>
      </c>
      <c r="S15" s="152">
        <f t="shared" si="2"/>
        <v>0.87</v>
      </c>
      <c r="T15" s="18">
        <f t="shared" si="3"/>
        <v>0.87</v>
      </c>
    </row>
    <row r="16" spans="2:20" x14ac:dyDescent="0.25">
      <c r="B16" s="117" t="s">
        <v>715</v>
      </c>
      <c r="C16" s="136" t="s">
        <v>716</v>
      </c>
      <c r="D16" s="14" t="s">
        <v>15</v>
      </c>
      <c r="E16" s="14" t="s">
        <v>16</v>
      </c>
      <c r="F16" s="15">
        <v>45408</v>
      </c>
      <c r="G16" s="16">
        <v>0.89</v>
      </c>
      <c r="H16" s="15">
        <v>45518</v>
      </c>
      <c r="I16" s="16">
        <v>0.6</v>
      </c>
      <c r="J16" s="15"/>
      <c r="K16" s="16"/>
      <c r="L16" s="15"/>
      <c r="M16" s="63"/>
      <c r="N16" s="17"/>
      <c r="O16" s="16"/>
      <c r="P16" s="16"/>
      <c r="Q16" s="152">
        <f t="shared" si="0"/>
        <v>0</v>
      </c>
      <c r="R16" s="152">
        <f t="shared" si="1"/>
        <v>0.89</v>
      </c>
      <c r="S16" s="152">
        <f t="shared" si="2"/>
        <v>1.49</v>
      </c>
      <c r="T16" s="18">
        <f t="shared" si="3"/>
        <v>1.49</v>
      </c>
    </row>
    <row r="17" spans="2:20" x14ac:dyDescent="0.25">
      <c r="B17" s="117" t="s">
        <v>22</v>
      </c>
      <c r="C17" s="136" t="s">
        <v>23</v>
      </c>
      <c r="D17" s="14" t="s">
        <v>24</v>
      </c>
      <c r="E17" s="14" t="s">
        <v>16</v>
      </c>
      <c r="F17" s="15">
        <v>45448</v>
      </c>
      <c r="G17" s="16">
        <v>1.18</v>
      </c>
      <c r="H17" s="15"/>
      <c r="I17" s="16"/>
      <c r="J17" s="15"/>
      <c r="K17" s="16"/>
      <c r="L17" s="15"/>
      <c r="M17" s="63"/>
      <c r="N17" s="17"/>
      <c r="O17" s="16"/>
      <c r="P17" s="16"/>
      <c r="Q17" s="174">
        <f t="shared" si="0"/>
        <v>0</v>
      </c>
      <c r="R17" s="152">
        <f t="shared" si="1"/>
        <v>1.18</v>
      </c>
      <c r="S17" s="152">
        <f t="shared" si="2"/>
        <v>1.18</v>
      </c>
      <c r="T17" s="18">
        <f t="shared" si="3"/>
        <v>1.18</v>
      </c>
    </row>
    <row r="18" spans="2:20" x14ac:dyDescent="0.25">
      <c r="B18" s="117" t="s">
        <v>25</v>
      </c>
      <c r="C18" s="136" t="s">
        <v>26</v>
      </c>
      <c r="D18" s="14" t="s">
        <v>27</v>
      </c>
      <c r="E18" s="14" t="s">
        <v>16</v>
      </c>
      <c r="F18" s="15">
        <v>45442</v>
      </c>
      <c r="G18" s="16">
        <v>3.4</v>
      </c>
      <c r="H18" s="15"/>
      <c r="I18" s="16"/>
      <c r="J18" s="15"/>
      <c r="K18" s="16"/>
      <c r="L18" s="15"/>
      <c r="M18" s="63"/>
      <c r="N18" s="17"/>
      <c r="O18" s="16"/>
      <c r="P18" s="16"/>
      <c r="Q18" s="152">
        <f t="shared" si="0"/>
        <v>0</v>
      </c>
      <c r="R18" s="152">
        <f t="shared" si="1"/>
        <v>3.4</v>
      </c>
      <c r="S18" s="152">
        <f t="shared" si="2"/>
        <v>3.4</v>
      </c>
      <c r="T18" s="18">
        <f t="shared" si="3"/>
        <v>3.4</v>
      </c>
    </row>
    <row r="19" spans="2:20" x14ac:dyDescent="0.25">
      <c r="B19" s="117" t="s">
        <v>863</v>
      </c>
      <c r="C19" s="136" t="s">
        <v>864</v>
      </c>
      <c r="D19" s="14" t="s">
        <v>15</v>
      </c>
      <c r="E19" s="14" t="s">
        <v>16</v>
      </c>
      <c r="F19" s="15">
        <v>45310</v>
      </c>
      <c r="G19" s="16">
        <v>0.43940000000000001</v>
      </c>
      <c r="H19" s="15">
        <v>45475</v>
      </c>
      <c r="I19" s="16">
        <v>1.55</v>
      </c>
      <c r="J19" s="15"/>
      <c r="K19" s="16"/>
      <c r="L19" s="15"/>
      <c r="M19" s="63"/>
      <c r="N19" s="17"/>
      <c r="O19" s="16"/>
      <c r="P19" s="16"/>
      <c r="Q19" s="152">
        <f t="shared" si="0"/>
        <v>0.43940000000000001</v>
      </c>
      <c r="R19" s="152">
        <f t="shared" si="1"/>
        <v>0.43940000000000001</v>
      </c>
      <c r="S19" s="152">
        <f t="shared" si="2"/>
        <v>1.9894000000000001</v>
      </c>
      <c r="T19" s="18">
        <f t="shared" si="3"/>
        <v>1.9894000000000001</v>
      </c>
    </row>
    <row r="20" spans="2:20" x14ac:dyDescent="0.25">
      <c r="B20" s="117" t="s">
        <v>28</v>
      </c>
      <c r="C20" s="136" t="s">
        <v>29</v>
      </c>
      <c r="D20" s="14" t="s">
        <v>15</v>
      </c>
      <c r="E20" s="14" t="s">
        <v>21</v>
      </c>
      <c r="F20" s="15">
        <v>45398</v>
      </c>
      <c r="G20" s="16">
        <v>2.5</v>
      </c>
      <c r="H20" s="15"/>
      <c r="I20" s="16"/>
      <c r="J20" s="15"/>
      <c r="K20" s="16"/>
      <c r="L20" s="15"/>
      <c r="M20" s="63"/>
      <c r="N20" s="17"/>
      <c r="O20" s="16"/>
      <c r="P20" s="16"/>
      <c r="Q20" s="152">
        <f t="shared" si="0"/>
        <v>0</v>
      </c>
      <c r="R20" s="152">
        <f t="shared" si="1"/>
        <v>2.5</v>
      </c>
      <c r="S20" s="152">
        <f t="shared" si="2"/>
        <v>2.5</v>
      </c>
      <c r="T20" s="18">
        <f t="shared" si="3"/>
        <v>2.5</v>
      </c>
    </row>
    <row r="21" spans="2:20" x14ac:dyDescent="0.25">
      <c r="B21" s="117" t="s">
        <v>30</v>
      </c>
      <c r="C21" s="136" t="s">
        <v>31</v>
      </c>
      <c r="D21" s="14" t="s">
        <v>15</v>
      </c>
      <c r="E21" s="14" t="s">
        <v>16</v>
      </c>
      <c r="F21" s="15">
        <v>45429</v>
      </c>
      <c r="G21" s="16">
        <v>0.7</v>
      </c>
      <c r="H21" s="15"/>
      <c r="I21" s="16"/>
      <c r="J21" s="15"/>
      <c r="K21" s="16"/>
      <c r="L21" s="15"/>
      <c r="M21" s="63"/>
      <c r="N21" s="17"/>
      <c r="O21" s="16"/>
      <c r="P21" s="16"/>
      <c r="Q21" s="152">
        <f t="shared" si="0"/>
        <v>0</v>
      </c>
      <c r="R21" s="152">
        <f t="shared" si="1"/>
        <v>0.7</v>
      </c>
      <c r="S21" s="152">
        <f t="shared" si="2"/>
        <v>0.7</v>
      </c>
      <c r="T21" s="18">
        <f t="shared" si="3"/>
        <v>0.7</v>
      </c>
    </row>
    <row r="22" spans="2:20" x14ac:dyDescent="0.25">
      <c r="B22" s="117" t="s">
        <v>32</v>
      </c>
      <c r="C22" s="136" t="s">
        <v>33</v>
      </c>
      <c r="D22" s="14" t="s">
        <v>15</v>
      </c>
      <c r="E22" s="14" t="s">
        <v>16</v>
      </c>
      <c r="F22" s="15">
        <v>45457</v>
      </c>
      <c r="G22" s="16">
        <v>0.16</v>
      </c>
      <c r="H22" s="15">
        <v>45539</v>
      </c>
      <c r="I22" s="16">
        <v>0.16</v>
      </c>
      <c r="J22" s="15"/>
      <c r="K22" s="16"/>
      <c r="L22" s="15"/>
      <c r="M22" s="63"/>
      <c r="N22" s="17"/>
      <c r="O22" s="16"/>
      <c r="P22" s="16"/>
      <c r="Q22" s="152">
        <f t="shared" si="0"/>
        <v>0</v>
      </c>
      <c r="R22" s="152">
        <f t="shared" si="1"/>
        <v>0.16</v>
      </c>
      <c r="S22" s="152">
        <f t="shared" si="2"/>
        <v>0.32</v>
      </c>
      <c r="T22" s="18">
        <f t="shared" si="3"/>
        <v>0.32</v>
      </c>
    </row>
    <row r="23" spans="2:20" x14ac:dyDescent="0.25">
      <c r="B23" s="117" t="s">
        <v>630</v>
      </c>
      <c r="C23" s="136" t="s">
        <v>625</v>
      </c>
      <c r="D23" s="14" t="s">
        <v>15</v>
      </c>
      <c r="E23" s="14" t="s">
        <v>16</v>
      </c>
      <c r="F23" s="15">
        <v>45415</v>
      </c>
      <c r="G23" s="16">
        <v>7.66</v>
      </c>
      <c r="H23" s="15"/>
      <c r="I23" s="16"/>
      <c r="J23" s="15"/>
      <c r="K23" s="16"/>
      <c r="L23" s="15"/>
      <c r="M23" s="63"/>
      <c r="N23" s="17"/>
      <c r="O23" s="16"/>
      <c r="P23" s="16"/>
      <c r="Q23" s="152">
        <f t="shared" si="0"/>
        <v>0</v>
      </c>
      <c r="R23" s="152">
        <f t="shared" si="1"/>
        <v>7.66</v>
      </c>
      <c r="S23" s="152">
        <f t="shared" si="2"/>
        <v>7.66</v>
      </c>
      <c r="T23" s="18">
        <f t="shared" si="3"/>
        <v>7.66</v>
      </c>
    </row>
    <row r="24" spans="2:20" x14ac:dyDescent="0.25">
      <c r="B24" s="117" t="s">
        <v>34</v>
      </c>
      <c r="C24" s="136" t="s">
        <v>35</v>
      </c>
      <c r="D24" s="14" t="s">
        <v>27</v>
      </c>
      <c r="E24" s="14" t="s">
        <v>16</v>
      </c>
      <c r="F24" s="15">
        <v>45448</v>
      </c>
      <c r="G24" s="16">
        <v>1.75</v>
      </c>
      <c r="H24" s="15">
        <v>45630</v>
      </c>
      <c r="I24" s="16">
        <v>1.5</v>
      </c>
      <c r="J24" s="15"/>
      <c r="K24" s="16"/>
      <c r="L24" s="15"/>
      <c r="M24" s="63"/>
      <c r="N24" s="17"/>
      <c r="O24" s="16"/>
      <c r="P24" s="16"/>
      <c r="Q24" s="152">
        <f t="shared" si="0"/>
        <v>0</v>
      </c>
      <c r="R24" s="152">
        <f t="shared" si="1"/>
        <v>1.75</v>
      </c>
      <c r="S24" s="152">
        <f t="shared" si="2"/>
        <v>1.75</v>
      </c>
      <c r="T24" s="18">
        <f t="shared" si="3"/>
        <v>3.25</v>
      </c>
    </row>
    <row r="25" spans="2:20" x14ac:dyDescent="0.25">
      <c r="B25" s="117" t="s">
        <v>36</v>
      </c>
      <c r="C25" s="136" t="s">
        <v>37</v>
      </c>
      <c r="D25" s="14" t="s">
        <v>15</v>
      </c>
      <c r="E25" s="14" t="s">
        <v>16</v>
      </c>
      <c r="F25" s="15">
        <v>45394</v>
      </c>
      <c r="G25" s="16">
        <v>0.61</v>
      </c>
      <c r="H25" s="15">
        <v>45513</v>
      </c>
      <c r="I25" s="16">
        <v>0.5</v>
      </c>
      <c r="J25" s="15"/>
      <c r="K25" s="16"/>
      <c r="L25" s="15"/>
      <c r="M25" s="63"/>
      <c r="N25" s="17"/>
      <c r="O25" s="16"/>
      <c r="P25" s="16"/>
      <c r="Q25" s="152">
        <f t="shared" si="0"/>
        <v>0</v>
      </c>
      <c r="R25" s="152">
        <f t="shared" si="1"/>
        <v>0.61</v>
      </c>
      <c r="S25" s="152">
        <f t="shared" si="2"/>
        <v>1.1099999999999999</v>
      </c>
      <c r="T25" s="18">
        <f t="shared" si="3"/>
        <v>1.1099999999999999</v>
      </c>
    </row>
    <row r="26" spans="2:20" x14ac:dyDescent="0.25">
      <c r="B26" s="117" t="s">
        <v>41</v>
      </c>
      <c r="C26" s="136" t="s">
        <v>42</v>
      </c>
      <c r="D26" s="14" t="s">
        <v>24</v>
      </c>
      <c r="E26" s="14" t="s">
        <v>16</v>
      </c>
      <c r="F26" s="147">
        <v>45432</v>
      </c>
      <c r="G26" s="148">
        <f>3.2*0.90909091</f>
        <v>2.9090909119999999</v>
      </c>
      <c r="H26" s="15"/>
      <c r="I26" s="16"/>
      <c r="J26" s="15"/>
      <c r="K26" s="16"/>
      <c r="L26" s="15"/>
      <c r="M26" s="63"/>
      <c r="N26" s="17"/>
      <c r="O26" s="16"/>
      <c r="P26" s="16"/>
      <c r="Q26" s="152">
        <f t="shared" si="0"/>
        <v>0</v>
      </c>
      <c r="R26" s="152">
        <f t="shared" si="1"/>
        <v>2.9090909119999999</v>
      </c>
      <c r="S26" s="152">
        <f t="shared" si="2"/>
        <v>2.9090909119999999</v>
      </c>
      <c r="T26" s="18">
        <f t="shared" si="3"/>
        <v>2.9090909119999999</v>
      </c>
    </row>
    <row r="27" spans="2:20" x14ac:dyDescent="0.25">
      <c r="B27" s="117" t="s">
        <v>43</v>
      </c>
      <c r="C27" s="136" t="s">
        <v>44</v>
      </c>
      <c r="D27" s="14" t="s">
        <v>24</v>
      </c>
      <c r="E27" s="14" t="s">
        <v>16</v>
      </c>
      <c r="F27" s="15">
        <v>45398</v>
      </c>
      <c r="G27" s="16">
        <f>1.8*0.99381953</f>
        <v>1.7888751540000001</v>
      </c>
      <c r="H27" s="15"/>
      <c r="I27" s="16"/>
      <c r="J27" s="15"/>
      <c r="K27" s="16"/>
      <c r="L27" s="15"/>
      <c r="M27" s="63"/>
      <c r="N27" s="17"/>
      <c r="O27" s="16"/>
      <c r="P27" s="16"/>
      <c r="Q27" s="152">
        <f t="shared" si="0"/>
        <v>0</v>
      </c>
      <c r="R27" s="152">
        <f t="shared" si="1"/>
        <v>1.7888751540000001</v>
      </c>
      <c r="S27" s="152">
        <f t="shared" si="2"/>
        <v>1.7888751540000001</v>
      </c>
      <c r="T27" s="18">
        <f t="shared" si="3"/>
        <v>1.7888751540000001</v>
      </c>
    </row>
    <row r="28" spans="2:20" x14ac:dyDescent="0.25">
      <c r="B28" s="117" t="s">
        <v>930</v>
      </c>
      <c r="C28" s="136" t="s">
        <v>931</v>
      </c>
      <c r="D28" s="14" t="s">
        <v>15</v>
      </c>
      <c r="E28" s="14" t="s">
        <v>56</v>
      </c>
      <c r="F28" s="15">
        <v>45335</v>
      </c>
      <c r="G28" s="16">
        <v>0.6</v>
      </c>
      <c r="H28" s="15">
        <v>45411</v>
      </c>
      <c r="I28" s="16">
        <v>0.6</v>
      </c>
      <c r="J28" s="15">
        <v>45490</v>
      </c>
      <c r="K28" s="16">
        <v>0.6</v>
      </c>
      <c r="L28" s="15">
        <v>45600</v>
      </c>
      <c r="M28" s="63">
        <v>0.6</v>
      </c>
      <c r="N28" s="17"/>
      <c r="O28" s="16"/>
      <c r="P28" s="16"/>
      <c r="Q28" s="152">
        <f t="shared" si="0"/>
        <v>0.6</v>
      </c>
      <c r="R28" s="152">
        <f t="shared" si="1"/>
        <v>1.2</v>
      </c>
      <c r="S28" s="152">
        <f t="shared" si="2"/>
        <v>1.7999999999999998</v>
      </c>
      <c r="T28" s="18">
        <f t="shared" si="3"/>
        <v>2.4</v>
      </c>
    </row>
    <row r="29" spans="2:20" x14ac:dyDescent="0.25">
      <c r="B29" s="117" t="s">
        <v>45</v>
      </c>
      <c r="C29" s="136" t="s">
        <v>46</v>
      </c>
      <c r="D29" s="14" t="s">
        <v>15</v>
      </c>
      <c r="E29" s="14" t="s">
        <v>16</v>
      </c>
      <c r="F29" s="15">
        <v>45411</v>
      </c>
      <c r="G29" s="16">
        <v>1.54</v>
      </c>
      <c r="H29" s="15">
        <v>45593</v>
      </c>
      <c r="I29" s="16">
        <v>0.44</v>
      </c>
      <c r="J29" s="15"/>
      <c r="K29" s="16"/>
      <c r="L29" s="15"/>
      <c r="M29" s="63"/>
      <c r="N29" s="17"/>
      <c r="O29" s="16"/>
      <c r="P29" s="16"/>
      <c r="Q29" s="152">
        <f t="shared" si="0"/>
        <v>0</v>
      </c>
      <c r="R29" s="152">
        <f t="shared" si="1"/>
        <v>1.54</v>
      </c>
      <c r="S29" s="152">
        <f t="shared" si="2"/>
        <v>1.54</v>
      </c>
      <c r="T29" s="18">
        <f t="shared" si="3"/>
        <v>1.98</v>
      </c>
    </row>
    <row r="30" spans="2:20" x14ac:dyDescent="0.25">
      <c r="B30" s="117" t="s">
        <v>828</v>
      </c>
      <c r="C30" s="136" t="s">
        <v>829</v>
      </c>
      <c r="D30" s="14" t="s">
        <v>15</v>
      </c>
      <c r="E30" s="14" t="s">
        <v>200</v>
      </c>
      <c r="F30" s="15">
        <v>45408</v>
      </c>
      <c r="G30" s="16">
        <v>7.5</v>
      </c>
      <c r="H30" s="15"/>
      <c r="I30" s="16"/>
      <c r="J30" s="15"/>
      <c r="K30" s="16"/>
      <c r="L30" s="15"/>
      <c r="M30" s="63"/>
      <c r="N30" s="17"/>
      <c r="O30" s="16"/>
      <c r="P30" s="16"/>
      <c r="Q30" s="152">
        <f t="shared" si="0"/>
        <v>0</v>
      </c>
      <c r="R30" s="152">
        <f t="shared" si="1"/>
        <v>7.5</v>
      </c>
      <c r="S30" s="152">
        <f t="shared" si="2"/>
        <v>7.5</v>
      </c>
      <c r="T30" s="18">
        <f t="shared" si="3"/>
        <v>7.5</v>
      </c>
    </row>
    <row r="31" spans="2:20" x14ac:dyDescent="0.25">
      <c r="B31" s="117" t="s">
        <v>47</v>
      </c>
      <c r="C31" s="136" t="s">
        <v>48</v>
      </c>
      <c r="D31" s="14" t="s">
        <v>15</v>
      </c>
      <c r="E31" s="14" t="s">
        <v>16</v>
      </c>
      <c r="F31" s="15">
        <v>45421</v>
      </c>
      <c r="G31" s="16">
        <v>13.8</v>
      </c>
      <c r="H31" s="15"/>
      <c r="I31" s="16"/>
      <c r="J31" s="15"/>
      <c r="K31" s="16"/>
      <c r="L31" s="15"/>
      <c r="M31" s="63"/>
      <c r="N31" s="17"/>
      <c r="O31" s="16"/>
      <c r="P31" s="16"/>
      <c r="Q31" s="152">
        <f t="shared" si="0"/>
        <v>0</v>
      </c>
      <c r="R31" s="152">
        <f t="shared" si="1"/>
        <v>13.8</v>
      </c>
      <c r="S31" s="152">
        <f t="shared" si="2"/>
        <v>13.8</v>
      </c>
      <c r="T31" s="18">
        <f t="shared" si="3"/>
        <v>13.8</v>
      </c>
    </row>
    <row r="32" spans="2:20" x14ac:dyDescent="0.25">
      <c r="B32" s="117" t="s">
        <v>49</v>
      </c>
      <c r="C32" s="136" t="s">
        <v>50</v>
      </c>
      <c r="D32" s="14" t="s">
        <v>24</v>
      </c>
      <c r="E32" s="14" t="s">
        <v>16</v>
      </c>
      <c r="F32" s="15"/>
      <c r="G32" s="16"/>
      <c r="H32" s="15"/>
      <c r="I32" s="16"/>
      <c r="J32" s="15"/>
      <c r="K32" s="16"/>
      <c r="L32" s="15"/>
      <c r="M32" s="63"/>
      <c r="N32" s="17"/>
      <c r="O32" s="16"/>
      <c r="P32" s="16"/>
      <c r="Q32" s="152">
        <f t="shared" si="0"/>
        <v>0</v>
      </c>
      <c r="R32" s="152">
        <f t="shared" si="1"/>
        <v>0</v>
      </c>
      <c r="S32" s="152">
        <f t="shared" si="2"/>
        <v>0</v>
      </c>
      <c r="T32" s="18">
        <f t="shared" si="3"/>
        <v>0</v>
      </c>
    </row>
    <row r="33" spans="1:21" x14ac:dyDescent="0.25">
      <c r="B33" s="117" t="s">
        <v>51</v>
      </c>
      <c r="C33" s="136" t="s">
        <v>52</v>
      </c>
      <c r="D33" s="14" t="s">
        <v>15</v>
      </c>
      <c r="E33" s="14" t="s">
        <v>16</v>
      </c>
      <c r="F33" s="15">
        <v>45307</v>
      </c>
      <c r="G33" s="16">
        <v>0.44</v>
      </c>
      <c r="H33" s="15">
        <v>45475</v>
      </c>
      <c r="I33" s="16">
        <v>0.8</v>
      </c>
      <c r="J33" s="15"/>
      <c r="K33" s="16"/>
      <c r="L33" s="15"/>
      <c r="M33" s="63"/>
      <c r="N33" s="17"/>
      <c r="O33" s="16"/>
      <c r="P33" s="16"/>
      <c r="Q33" s="152">
        <f t="shared" si="0"/>
        <v>0.44</v>
      </c>
      <c r="R33" s="152">
        <f t="shared" si="1"/>
        <v>0.44</v>
      </c>
      <c r="S33" s="152">
        <f t="shared" si="2"/>
        <v>1.24</v>
      </c>
      <c r="T33" s="18">
        <f t="shared" si="3"/>
        <v>1.24</v>
      </c>
    </row>
    <row r="34" spans="1:21" x14ac:dyDescent="0.25">
      <c r="B34" s="117" t="s">
        <v>896</v>
      </c>
      <c r="C34" s="136" t="s">
        <v>897</v>
      </c>
      <c r="D34" s="14" t="s">
        <v>15</v>
      </c>
      <c r="E34" s="14" t="s">
        <v>16</v>
      </c>
      <c r="F34" s="15">
        <v>45422</v>
      </c>
      <c r="G34" s="16">
        <v>0.2</v>
      </c>
      <c r="H34" s="15">
        <v>45509</v>
      </c>
      <c r="I34" s="16">
        <v>0.2</v>
      </c>
      <c r="J34" s="15"/>
      <c r="K34" s="16"/>
      <c r="L34" s="15"/>
      <c r="M34" s="63"/>
      <c r="N34" s="17"/>
      <c r="O34" s="16"/>
      <c r="P34" s="16"/>
      <c r="Q34" s="152">
        <f t="shared" si="0"/>
        <v>0</v>
      </c>
      <c r="R34" s="152">
        <f t="shared" si="1"/>
        <v>0.2</v>
      </c>
      <c r="S34" s="152">
        <f t="shared" si="2"/>
        <v>0.4</v>
      </c>
      <c r="T34" s="18">
        <f t="shared" si="3"/>
        <v>0.4</v>
      </c>
    </row>
    <row r="35" spans="1:21" x14ac:dyDescent="0.25">
      <c r="B35" s="117" t="s">
        <v>886</v>
      </c>
      <c r="C35" s="136" t="s">
        <v>887</v>
      </c>
      <c r="D35" s="14" t="s">
        <v>15</v>
      </c>
      <c r="E35" s="14" t="s">
        <v>16</v>
      </c>
      <c r="F35" s="15">
        <v>45376</v>
      </c>
      <c r="G35" s="16">
        <v>2.5</v>
      </c>
      <c r="H35" s="15"/>
      <c r="I35" s="16"/>
      <c r="J35" s="15"/>
      <c r="K35" s="16"/>
      <c r="L35" s="15"/>
      <c r="M35" s="63"/>
      <c r="N35" s="17"/>
      <c r="O35" s="16"/>
      <c r="P35" s="16"/>
      <c r="Q35" s="152">
        <f t="shared" si="0"/>
        <v>0</v>
      </c>
      <c r="R35" s="152">
        <f t="shared" si="1"/>
        <v>2.5</v>
      </c>
      <c r="S35" s="152">
        <f t="shared" si="2"/>
        <v>2.5</v>
      </c>
      <c r="T35" s="18">
        <f t="shared" si="3"/>
        <v>2.5</v>
      </c>
    </row>
    <row r="36" spans="1:21" x14ac:dyDescent="0.25">
      <c r="B36" s="117" t="s">
        <v>57</v>
      </c>
      <c r="C36" s="136" t="s">
        <v>58</v>
      </c>
      <c r="D36" s="14" t="s">
        <v>15</v>
      </c>
      <c r="E36" s="14" t="s">
        <v>56</v>
      </c>
      <c r="F36" s="15">
        <v>45365</v>
      </c>
      <c r="G36" s="16">
        <v>0.41</v>
      </c>
      <c r="H36" s="15">
        <v>45519</v>
      </c>
      <c r="I36" s="16">
        <v>0.42</v>
      </c>
      <c r="J36" s="15"/>
      <c r="K36" s="16"/>
      <c r="L36" s="15"/>
      <c r="M36" s="63"/>
      <c r="N36" s="17"/>
      <c r="O36" s="16"/>
      <c r="P36" s="16"/>
      <c r="Q36" s="152">
        <f t="shared" si="0"/>
        <v>0.41</v>
      </c>
      <c r="R36" s="152">
        <f t="shared" si="1"/>
        <v>0.41</v>
      </c>
      <c r="S36" s="152">
        <f t="shared" si="2"/>
        <v>0.83</v>
      </c>
      <c r="T36" s="18">
        <f t="shared" si="3"/>
        <v>0.83</v>
      </c>
    </row>
    <row r="37" spans="1:21" x14ac:dyDescent="0.25">
      <c r="B37" s="117" t="s">
        <v>59</v>
      </c>
      <c r="C37" s="136" t="s">
        <v>60</v>
      </c>
      <c r="D37" s="14" t="s">
        <v>27</v>
      </c>
      <c r="E37" s="14" t="s">
        <v>16</v>
      </c>
      <c r="F37" s="15">
        <v>45415</v>
      </c>
      <c r="G37" s="16">
        <v>0.82</v>
      </c>
      <c r="H37" s="15"/>
      <c r="I37" s="16"/>
      <c r="J37" s="15"/>
      <c r="K37" s="16"/>
      <c r="L37" s="15"/>
      <c r="M37" s="63"/>
      <c r="N37" s="17"/>
      <c r="O37" s="16"/>
      <c r="P37" s="16"/>
      <c r="Q37" s="152">
        <f t="shared" si="0"/>
        <v>0</v>
      </c>
      <c r="R37" s="152">
        <f t="shared" si="1"/>
        <v>0.82</v>
      </c>
      <c r="S37" s="152">
        <f t="shared" si="2"/>
        <v>0.82</v>
      </c>
      <c r="T37" s="18">
        <f t="shared" si="3"/>
        <v>0.82</v>
      </c>
    </row>
    <row r="38" spans="1:21" x14ac:dyDescent="0.25">
      <c r="B38" s="117" t="s">
        <v>63</v>
      </c>
      <c r="C38" s="136" t="s">
        <v>64</v>
      </c>
      <c r="D38" s="14" t="s">
        <v>15</v>
      </c>
      <c r="E38" s="14" t="s">
        <v>16</v>
      </c>
      <c r="F38" s="15">
        <v>45428</v>
      </c>
      <c r="G38" s="16">
        <f>0.25/1.0866</f>
        <v>0.23007546475243879</v>
      </c>
      <c r="H38" s="15">
        <v>45607</v>
      </c>
      <c r="I38" s="16">
        <f>0.25/1.0772</f>
        <v>0.23208317861121427</v>
      </c>
      <c r="J38" s="15"/>
      <c r="K38" s="16"/>
      <c r="L38" s="15"/>
      <c r="M38" s="63"/>
      <c r="N38" s="17"/>
      <c r="O38" s="16"/>
      <c r="P38" s="16"/>
      <c r="Q38" s="152">
        <f t="shared" si="0"/>
        <v>0</v>
      </c>
      <c r="R38" s="152">
        <f t="shared" si="1"/>
        <v>0.23007546475243879</v>
      </c>
      <c r="S38" s="152">
        <f t="shared" si="2"/>
        <v>0.23007546475243879</v>
      </c>
      <c r="T38" s="18">
        <f t="shared" si="3"/>
        <v>0.46215864336365309</v>
      </c>
    </row>
    <row r="39" spans="1:21" x14ac:dyDescent="0.25">
      <c r="B39" s="117" t="s">
        <v>65</v>
      </c>
      <c r="C39" s="136" t="s">
        <v>66</v>
      </c>
      <c r="D39" s="14" t="s">
        <v>15</v>
      </c>
      <c r="E39" s="14" t="s">
        <v>16</v>
      </c>
      <c r="F39" s="15">
        <v>45327</v>
      </c>
      <c r="G39" s="16">
        <v>1.45</v>
      </c>
      <c r="H39" s="15">
        <v>45408</v>
      </c>
      <c r="I39" s="16">
        <v>1.75</v>
      </c>
      <c r="J39" s="15">
        <v>45502</v>
      </c>
      <c r="K39" s="16">
        <v>1.52</v>
      </c>
      <c r="L39" s="15">
        <v>45594</v>
      </c>
      <c r="M39" s="63">
        <v>1.52</v>
      </c>
      <c r="N39" s="17"/>
      <c r="O39" s="16"/>
      <c r="P39" s="16"/>
      <c r="Q39" s="152">
        <f t="shared" si="0"/>
        <v>1.45</v>
      </c>
      <c r="R39" s="152">
        <f t="shared" si="1"/>
        <v>3.2</v>
      </c>
      <c r="S39" s="152">
        <f t="shared" si="2"/>
        <v>4.7200000000000006</v>
      </c>
      <c r="T39" s="18">
        <f t="shared" si="3"/>
        <v>6.24</v>
      </c>
    </row>
    <row r="40" spans="1:21" x14ac:dyDescent="0.25">
      <c r="A40" s="33"/>
      <c r="B40" s="117" t="s">
        <v>782</v>
      </c>
      <c r="C40" s="136" t="s">
        <v>783</v>
      </c>
      <c r="D40" s="14" t="s">
        <v>15</v>
      </c>
      <c r="E40" s="14" t="s">
        <v>16</v>
      </c>
      <c r="F40" s="15">
        <v>45443</v>
      </c>
      <c r="G40" s="16">
        <v>1.81</v>
      </c>
      <c r="H40" s="15">
        <v>45532</v>
      </c>
      <c r="I40" s="16">
        <v>1.1599999999999999</v>
      </c>
      <c r="J40" s="15"/>
      <c r="K40" s="16"/>
      <c r="L40" s="15"/>
      <c r="M40" s="63"/>
      <c r="N40" s="17"/>
      <c r="O40" s="16"/>
      <c r="P40" s="16"/>
      <c r="Q40" s="152">
        <f t="shared" si="0"/>
        <v>0</v>
      </c>
      <c r="R40" s="152">
        <f t="shared" si="1"/>
        <v>1.81</v>
      </c>
      <c r="S40" s="152">
        <f t="shared" si="2"/>
        <v>2.9699999999999998</v>
      </c>
      <c r="T40" s="18">
        <f t="shared" si="3"/>
        <v>2.9699999999999998</v>
      </c>
      <c r="U40" s="36"/>
    </row>
    <row r="41" spans="1:21" x14ac:dyDescent="0.25">
      <c r="B41" s="117" t="s">
        <v>830</v>
      </c>
      <c r="C41" s="136" t="s">
        <v>831</v>
      </c>
      <c r="D41" s="14" t="s">
        <v>15</v>
      </c>
      <c r="E41" s="14" t="s">
        <v>200</v>
      </c>
      <c r="F41" s="15">
        <v>45407</v>
      </c>
      <c r="G41" s="16">
        <v>2.7</v>
      </c>
      <c r="H41" s="15">
        <v>45604</v>
      </c>
      <c r="I41" s="16">
        <v>2.7</v>
      </c>
      <c r="J41" s="15"/>
      <c r="K41" s="16"/>
      <c r="L41" s="15"/>
      <c r="M41" s="63"/>
      <c r="N41" s="17"/>
      <c r="O41" s="16"/>
      <c r="P41" s="16"/>
      <c r="Q41" s="152">
        <f t="shared" si="0"/>
        <v>0</v>
      </c>
      <c r="R41" s="152">
        <f t="shared" si="1"/>
        <v>2.7</v>
      </c>
      <c r="S41" s="152">
        <f t="shared" si="2"/>
        <v>2.7</v>
      </c>
      <c r="T41" s="18">
        <f t="shared" si="3"/>
        <v>5.4</v>
      </c>
    </row>
    <row r="42" spans="1:21" x14ac:dyDescent="0.25">
      <c r="B42" s="117" t="s">
        <v>69</v>
      </c>
      <c r="C42" s="136" t="s">
        <v>70</v>
      </c>
      <c r="D42" s="14" t="s">
        <v>15</v>
      </c>
      <c r="E42" s="14" t="s">
        <v>56</v>
      </c>
      <c r="F42" s="15">
        <v>45344</v>
      </c>
      <c r="G42" s="16">
        <v>1.97</v>
      </c>
      <c r="H42" s="15">
        <v>45512</v>
      </c>
      <c r="I42" s="16">
        <v>1</v>
      </c>
      <c r="J42" s="15"/>
      <c r="K42" s="16"/>
      <c r="L42" s="15"/>
      <c r="M42" s="63"/>
      <c r="N42" s="17"/>
      <c r="O42" s="16"/>
      <c r="P42" s="16"/>
      <c r="Q42" s="152">
        <f t="shared" si="0"/>
        <v>1.97</v>
      </c>
      <c r="R42" s="152">
        <f t="shared" si="1"/>
        <v>1.97</v>
      </c>
      <c r="S42" s="152">
        <f t="shared" si="2"/>
        <v>2.9699999999999998</v>
      </c>
      <c r="T42" s="18">
        <f t="shared" si="3"/>
        <v>2.9699999999999998</v>
      </c>
    </row>
    <row r="43" spans="1:21" x14ac:dyDescent="0.25">
      <c r="A43" s="33"/>
      <c r="B43" s="117" t="s">
        <v>826</v>
      </c>
      <c r="C43" s="136" t="s">
        <v>827</v>
      </c>
      <c r="D43" s="14" t="s">
        <v>15</v>
      </c>
      <c r="E43" s="14" t="s">
        <v>200</v>
      </c>
      <c r="F43" s="15">
        <v>45407</v>
      </c>
      <c r="G43" s="16">
        <v>1.4</v>
      </c>
      <c r="H43" s="15">
        <v>45583</v>
      </c>
      <c r="I43" s="16">
        <v>1.4</v>
      </c>
      <c r="J43" s="15"/>
      <c r="K43" s="16"/>
      <c r="L43" s="15"/>
      <c r="M43" s="63"/>
      <c r="N43" s="17"/>
      <c r="O43" s="16"/>
      <c r="P43" s="16"/>
      <c r="Q43" s="152">
        <f t="shared" si="0"/>
        <v>0</v>
      </c>
      <c r="R43" s="152">
        <f t="shared" si="1"/>
        <v>1.4</v>
      </c>
      <c r="S43" s="152">
        <f t="shared" si="2"/>
        <v>1.4</v>
      </c>
      <c r="T43" s="18">
        <f t="shared" si="3"/>
        <v>2.8</v>
      </c>
      <c r="U43" s="36"/>
    </row>
    <row r="44" spans="1:21" x14ac:dyDescent="0.25">
      <c r="A44" s="33"/>
      <c r="B44" s="117" t="s">
        <v>898</v>
      </c>
      <c r="C44" s="136" t="s">
        <v>899</v>
      </c>
      <c r="D44" s="14" t="s">
        <v>15</v>
      </c>
      <c r="E44" s="14" t="s">
        <v>16</v>
      </c>
      <c r="F44" s="15">
        <v>45338</v>
      </c>
      <c r="G44" s="16">
        <v>1.4</v>
      </c>
      <c r="H44" s="15"/>
      <c r="I44" s="16"/>
      <c r="J44" s="15"/>
      <c r="K44" s="16"/>
      <c r="L44" s="15"/>
      <c r="M44" s="63"/>
      <c r="N44" s="17"/>
      <c r="O44" s="16"/>
      <c r="P44" s="16"/>
      <c r="Q44" s="152">
        <f t="shared" si="0"/>
        <v>1.4</v>
      </c>
      <c r="R44" s="152">
        <f t="shared" si="1"/>
        <v>1.4</v>
      </c>
      <c r="S44" s="152">
        <f t="shared" si="2"/>
        <v>1.4</v>
      </c>
      <c r="T44" s="18">
        <f t="shared" si="3"/>
        <v>1.4</v>
      </c>
      <c r="U44" s="36"/>
    </row>
    <row r="45" spans="1:21" x14ac:dyDescent="0.25">
      <c r="A45" s="33"/>
      <c r="B45" s="117" t="s">
        <v>75</v>
      </c>
      <c r="C45" s="136" t="s">
        <v>76</v>
      </c>
      <c r="D45" s="14" t="s">
        <v>15</v>
      </c>
      <c r="E45" s="14" t="s">
        <v>761</v>
      </c>
      <c r="F45" s="15">
        <v>45393</v>
      </c>
      <c r="G45" s="16">
        <v>22.3</v>
      </c>
      <c r="H45" s="15">
        <v>45540</v>
      </c>
      <c r="I45" s="16">
        <v>11.9</v>
      </c>
      <c r="J45" s="15"/>
      <c r="K45" s="16"/>
      <c r="L45" s="15"/>
      <c r="M45" s="63"/>
      <c r="N45" s="17"/>
      <c r="O45" s="16"/>
      <c r="P45" s="16"/>
      <c r="Q45" s="152">
        <f t="shared" si="0"/>
        <v>0</v>
      </c>
      <c r="R45" s="152">
        <f t="shared" si="1"/>
        <v>22.3</v>
      </c>
      <c r="S45" s="152">
        <f t="shared" si="2"/>
        <v>34.200000000000003</v>
      </c>
      <c r="T45" s="18">
        <f t="shared" si="3"/>
        <v>34.200000000000003</v>
      </c>
      <c r="U45" s="36"/>
    </row>
    <row r="46" spans="1:21" x14ac:dyDescent="0.25">
      <c r="A46" s="33"/>
      <c r="B46" s="117" t="s">
        <v>78</v>
      </c>
      <c r="C46" s="136" t="s">
        <v>79</v>
      </c>
      <c r="D46" s="14" t="s">
        <v>24</v>
      </c>
      <c r="E46" s="14" t="s">
        <v>16</v>
      </c>
      <c r="F46" s="15">
        <v>45412</v>
      </c>
      <c r="G46" s="16">
        <v>1.98</v>
      </c>
      <c r="H46" s="15"/>
      <c r="I46" s="16"/>
      <c r="J46" s="15"/>
      <c r="K46" s="16"/>
      <c r="L46" s="15"/>
      <c r="M46" s="63"/>
      <c r="N46" s="17"/>
      <c r="O46" s="16"/>
      <c r="P46" s="16"/>
      <c r="Q46" s="152">
        <f t="shared" si="0"/>
        <v>0</v>
      </c>
      <c r="R46" s="152">
        <f t="shared" si="1"/>
        <v>1.98</v>
      </c>
      <c r="S46" s="152">
        <f t="shared" si="2"/>
        <v>1.98</v>
      </c>
      <c r="T46" s="18">
        <f t="shared" si="3"/>
        <v>1.98</v>
      </c>
      <c r="U46" s="36"/>
    </row>
    <row r="47" spans="1:21" x14ac:dyDescent="0.25">
      <c r="A47" s="33"/>
      <c r="B47" s="117" t="s">
        <v>82</v>
      </c>
      <c r="C47" s="136" t="s">
        <v>83</v>
      </c>
      <c r="D47" s="14" t="s">
        <v>15</v>
      </c>
      <c r="E47" s="14" t="s">
        <v>761</v>
      </c>
      <c r="F47" s="15">
        <v>45400</v>
      </c>
      <c r="G47" s="16">
        <v>18.5</v>
      </c>
      <c r="H47" s="15">
        <v>45589</v>
      </c>
      <c r="I47" s="16">
        <v>12.4</v>
      </c>
      <c r="J47" s="15"/>
      <c r="K47" s="16"/>
      <c r="L47" s="15"/>
      <c r="M47" s="63"/>
      <c r="N47" s="17"/>
      <c r="O47" s="16"/>
      <c r="P47" s="16"/>
      <c r="Q47" s="152">
        <f t="shared" si="0"/>
        <v>0</v>
      </c>
      <c r="R47" s="152">
        <f t="shared" si="1"/>
        <v>18.5</v>
      </c>
      <c r="S47" s="152">
        <f t="shared" si="2"/>
        <v>18.5</v>
      </c>
      <c r="T47" s="18">
        <f t="shared" si="3"/>
        <v>30.9</v>
      </c>
      <c r="U47" s="36"/>
    </row>
    <row r="48" spans="1:21" x14ac:dyDescent="0.25">
      <c r="B48" s="117" t="s">
        <v>900</v>
      </c>
      <c r="C48" s="136" t="s">
        <v>901</v>
      </c>
      <c r="D48" s="14" t="s">
        <v>15</v>
      </c>
      <c r="E48" s="14" t="s">
        <v>21</v>
      </c>
      <c r="F48" s="15">
        <v>45412</v>
      </c>
      <c r="G48" s="16">
        <v>7.7</v>
      </c>
      <c r="H48" s="15"/>
      <c r="I48" s="16"/>
      <c r="J48" s="15"/>
      <c r="K48" s="16"/>
      <c r="L48" s="15"/>
      <c r="M48" s="63"/>
      <c r="N48" s="17"/>
      <c r="O48" s="16"/>
      <c r="P48" s="16"/>
      <c r="Q48" s="152">
        <f t="shared" si="0"/>
        <v>0</v>
      </c>
      <c r="R48" s="152">
        <f t="shared" si="1"/>
        <v>7.7</v>
      </c>
      <c r="S48" s="152">
        <f t="shared" si="2"/>
        <v>7.7</v>
      </c>
      <c r="T48" s="18">
        <f t="shared" si="3"/>
        <v>7.7</v>
      </c>
    </row>
    <row r="49" spans="2:20" x14ac:dyDescent="0.25">
      <c r="B49" s="117" t="s">
        <v>86</v>
      </c>
      <c r="C49" s="136" t="s">
        <v>87</v>
      </c>
      <c r="D49" s="14" t="s">
        <v>15</v>
      </c>
      <c r="E49" s="14" t="s">
        <v>16</v>
      </c>
      <c r="F49" s="15">
        <v>45390</v>
      </c>
      <c r="G49" s="16">
        <v>0.39</v>
      </c>
      <c r="H49" s="15">
        <v>45573</v>
      </c>
      <c r="I49" s="16">
        <v>0.28999999999999998</v>
      </c>
      <c r="J49" s="15"/>
      <c r="K49" s="16"/>
      <c r="L49" s="15"/>
      <c r="M49" s="63"/>
      <c r="N49" s="17"/>
      <c r="O49" s="16"/>
      <c r="P49" s="16"/>
      <c r="Q49" s="152">
        <f t="shared" si="0"/>
        <v>0</v>
      </c>
      <c r="R49" s="152">
        <f t="shared" si="1"/>
        <v>0.39</v>
      </c>
      <c r="S49" s="152">
        <f t="shared" si="2"/>
        <v>0.39</v>
      </c>
      <c r="T49" s="18">
        <f t="shared" si="3"/>
        <v>0.67999999999999994</v>
      </c>
    </row>
    <row r="50" spans="2:20" x14ac:dyDescent="0.25">
      <c r="B50" s="117" t="s">
        <v>88</v>
      </c>
      <c r="C50" s="136" t="s">
        <v>940</v>
      </c>
      <c r="D50" s="14" t="s">
        <v>941</v>
      </c>
      <c r="E50" s="14" t="s">
        <v>16</v>
      </c>
      <c r="F50" s="15">
        <v>45404</v>
      </c>
      <c r="G50" s="16">
        <v>0.56000000000000005</v>
      </c>
      <c r="H50" s="15">
        <v>45614</v>
      </c>
      <c r="I50" s="16">
        <v>0.4</v>
      </c>
      <c r="J50" s="15"/>
      <c r="K50" s="16"/>
      <c r="L50" s="15"/>
      <c r="M50" s="63"/>
      <c r="N50" s="17"/>
      <c r="O50" s="16"/>
      <c r="P50" s="16"/>
      <c r="Q50" s="152">
        <f>IF(F50&lt;=Exp24Q1,G50,0)+IF(H50&lt;=Exp24Q1,I50,0)+IF(J50&lt;=Exp24Q1,K50,0)+IF(L50&lt;=Exp24Q1,M50,0)+IF(N50&lt;=Exp24Q1,O50,0)</f>
        <v>0</v>
      </c>
      <c r="R50" s="152">
        <f>IF(F50&lt;=Exp24H1,G50,0)+IF(H50&lt;=Exp24H1,I50,0)+IF(J50&lt;=Exp24H1,K50,0)+IF(L50&lt;=Exp24H1,M50,0)+IF(N50&lt;=Exp24H1,O50,0)</f>
        <v>0.56000000000000005</v>
      </c>
      <c r="S50" s="152">
        <f>IF(F50&lt;=Exp24Q3,G50,0)+IF(H50&lt;=Exp24Q3,I50,0)+IF(J50&lt;=Exp24Q3,K50,0)+IF(L50&lt;=Exp24Q3,M50,0)+IF(N50&lt;=Exp24Q3,O50,0)</f>
        <v>0.56000000000000005</v>
      </c>
      <c r="T50" s="18">
        <f>G50+I50+K50+M50+O50</f>
        <v>0.96000000000000008</v>
      </c>
    </row>
    <row r="51" spans="2:20" x14ac:dyDescent="0.25">
      <c r="B51" s="117" t="s">
        <v>814</v>
      </c>
      <c r="C51" s="136" t="s">
        <v>815</v>
      </c>
      <c r="D51" s="14" t="s">
        <v>15</v>
      </c>
      <c r="E51" s="14" t="s">
        <v>16</v>
      </c>
      <c r="F51" s="15">
        <v>45287</v>
      </c>
      <c r="G51" s="16">
        <v>0.03</v>
      </c>
      <c r="H51" s="15">
        <v>45398</v>
      </c>
      <c r="I51" s="16">
        <v>0.03</v>
      </c>
      <c r="J51" s="15">
        <v>45562</v>
      </c>
      <c r="K51" s="16">
        <v>0.08</v>
      </c>
      <c r="L51" s="15"/>
      <c r="M51" s="63"/>
      <c r="N51" s="17"/>
      <c r="O51" s="16"/>
      <c r="P51" s="16"/>
      <c r="Q51" s="152">
        <f t="shared" si="0"/>
        <v>0.03</v>
      </c>
      <c r="R51" s="152">
        <f>IF(F51&lt;=Exp24H1,G51,0)+IF(H51&lt;=Exp24H1,I51,0)+IF(J51&lt;=Exp24H1,K51,0)+IF(L51&lt;=Exp24H1,M51,0)+IF(N51&lt;=Exp24H1,O51,0)</f>
        <v>0.06</v>
      </c>
      <c r="S51" s="152">
        <f t="shared" si="2"/>
        <v>0.06</v>
      </c>
      <c r="T51" s="18">
        <f t="shared" si="3"/>
        <v>0.14000000000000001</v>
      </c>
    </row>
    <row r="52" spans="2:20" x14ac:dyDescent="0.25">
      <c r="B52" s="117" t="s">
        <v>90</v>
      </c>
      <c r="C52" s="136" t="s">
        <v>91</v>
      </c>
      <c r="D52" s="14" t="s">
        <v>15</v>
      </c>
      <c r="E52" s="14" t="s">
        <v>16</v>
      </c>
      <c r="F52" s="15">
        <v>45411</v>
      </c>
      <c r="G52" s="16">
        <v>9.5000000000000001E-2</v>
      </c>
      <c r="H52" s="15">
        <v>45595</v>
      </c>
      <c r="I52" s="16">
        <v>0.1</v>
      </c>
      <c r="J52" s="15"/>
      <c r="K52" s="16"/>
      <c r="L52" s="15"/>
      <c r="M52" s="63"/>
      <c r="N52" s="17"/>
      <c r="O52" s="16"/>
      <c r="P52" s="16"/>
      <c r="Q52" s="152">
        <f t="shared" si="0"/>
        <v>0</v>
      </c>
      <c r="R52" s="152">
        <f t="shared" si="1"/>
        <v>9.5000000000000001E-2</v>
      </c>
      <c r="S52" s="152">
        <f t="shared" si="2"/>
        <v>9.5000000000000001E-2</v>
      </c>
      <c r="T52" s="18">
        <f t="shared" si="3"/>
        <v>0.19500000000000001</v>
      </c>
    </row>
    <row r="53" spans="2:20" x14ac:dyDescent="0.25">
      <c r="B53" s="117" t="s">
        <v>812</v>
      </c>
      <c r="C53" s="136" t="s">
        <v>813</v>
      </c>
      <c r="D53" s="14" t="s">
        <v>15</v>
      </c>
      <c r="E53" s="14" t="s">
        <v>16</v>
      </c>
      <c r="F53" s="15">
        <v>45421</v>
      </c>
      <c r="G53" s="16">
        <v>0.6</v>
      </c>
      <c r="H53" s="15">
        <v>45575</v>
      </c>
      <c r="I53" s="16">
        <v>0.35</v>
      </c>
      <c r="J53" s="15"/>
      <c r="K53" s="16"/>
      <c r="L53" s="15"/>
      <c r="M53" s="63"/>
      <c r="N53" s="17"/>
      <c r="O53" s="16"/>
      <c r="P53" s="16"/>
      <c r="Q53" s="152">
        <f t="shared" si="0"/>
        <v>0</v>
      </c>
      <c r="R53" s="152">
        <f t="shared" si="1"/>
        <v>0.6</v>
      </c>
      <c r="S53" s="152">
        <f t="shared" si="2"/>
        <v>0.6</v>
      </c>
      <c r="T53" s="18">
        <f t="shared" si="3"/>
        <v>0.95</v>
      </c>
    </row>
    <row r="54" spans="2:20" x14ac:dyDescent="0.25">
      <c r="B54" s="117" t="s">
        <v>94</v>
      </c>
      <c r="C54" s="136" t="s">
        <v>95</v>
      </c>
      <c r="D54" s="14" t="s">
        <v>15</v>
      </c>
      <c r="E54" s="14" t="s">
        <v>16</v>
      </c>
      <c r="F54" s="15">
        <v>45287</v>
      </c>
      <c r="G54" s="16">
        <v>0.142208</v>
      </c>
      <c r="H54" s="15">
        <v>45377</v>
      </c>
      <c r="I54" s="16">
        <v>0.107742</v>
      </c>
      <c r="J54" s="15">
        <v>45467</v>
      </c>
      <c r="K54" s="16">
        <v>0.111722</v>
      </c>
      <c r="L54" s="15">
        <v>45624</v>
      </c>
      <c r="M54" s="63">
        <v>0.295018</v>
      </c>
      <c r="N54" s="17"/>
      <c r="O54" s="16"/>
      <c r="P54" s="16"/>
      <c r="Q54" s="152">
        <f t="shared" si="0"/>
        <v>0.142208</v>
      </c>
      <c r="R54" s="152">
        <f t="shared" si="1"/>
        <v>0.24995000000000001</v>
      </c>
      <c r="S54" s="152">
        <f t="shared" si="2"/>
        <v>0.36167199999999999</v>
      </c>
      <c r="T54" s="18">
        <f t="shared" si="3"/>
        <v>0.65669</v>
      </c>
    </row>
    <row r="55" spans="2:20" x14ac:dyDescent="0.25">
      <c r="B55" s="117" t="s">
        <v>96</v>
      </c>
      <c r="C55" s="136" t="s">
        <v>97</v>
      </c>
      <c r="D55" s="14" t="s">
        <v>15</v>
      </c>
      <c r="E55" s="14" t="s">
        <v>761</v>
      </c>
      <c r="F55" s="15">
        <v>45351</v>
      </c>
      <c r="G55" s="16">
        <v>5.3</v>
      </c>
      <c r="H55" s="15">
        <v>45519</v>
      </c>
      <c r="I55" s="16">
        <v>2.9</v>
      </c>
      <c r="J55" s="15"/>
      <c r="K55" s="16"/>
      <c r="L55" s="15"/>
      <c r="M55" s="63"/>
      <c r="N55" s="17"/>
      <c r="O55" s="16"/>
      <c r="P55" s="16"/>
      <c r="Q55" s="152">
        <f t="shared" si="0"/>
        <v>5.3</v>
      </c>
      <c r="R55" s="152">
        <f t="shared" si="1"/>
        <v>5.3</v>
      </c>
      <c r="S55" s="152">
        <f t="shared" si="2"/>
        <v>8.1999999999999993</v>
      </c>
      <c r="T55" s="18">
        <f t="shared" si="3"/>
        <v>8.1999999999999993</v>
      </c>
    </row>
    <row r="56" spans="2:20" x14ac:dyDescent="0.25">
      <c r="B56" s="117" t="s">
        <v>98</v>
      </c>
      <c r="C56" s="136" t="s">
        <v>99</v>
      </c>
      <c r="D56" s="14" t="s">
        <v>15</v>
      </c>
      <c r="E56" s="14" t="s">
        <v>16</v>
      </c>
      <c r="F56" s="15">
        <v>45408</v>
      </c>
      <c r="G56" s="16">
        <v>3.4</v>
      </c>
      <c r="H56" s="15"/>
      <c r="I56" s="16"/>
      <c r="J56" s="15"/>
      <c r="K56" s="16"/>
      <c r="L56" s="15"/>
      <c r="M56" s="63"/>
      <c r="N56" s="17"/>
      <c r="O56" s="16"/>
      <c r="P56" s="16"/>
      <c r="Q56" s="152">
        <f t="shared" si="0"/>
        <v>0</v>
      </c>
      <c r="R56" s="152">
        <f t="shared" si="1"/>
        <v>3.4</v>
      </c>
      <c r="S56" s="152">
        <f t="shared" si="2"/>
        <v>3.4</v>
      </c>
      <c r="T56" s="18">
        <f t="shared" si="3"/>
        <v>3.4</v>
      </c>
    </row>
    <row r="57" spans="2:20" x14ac:dyDescent="0.25">
      <c r="B57" s="117" t="s">
        <v>804</v>
      </c>
      <c r="C57" s="136" t="s">
        <v>805</v>
      </c>
      <c r="D57" s="14" t="s">
        <v>15</v>
      </c>
      <c r="E57" s="14" t="s">
        <v>16</v>
      </c>
      <c r="F57" s="15">
        <v>45392</v>
      </c>
      <c r="G57" s="16">
        <v>5</v>
      </c>
      <c r="H57" s="15"/>
      <c r="I57" s="16"/>
      <c r="J57" s="15"/>
      <c r="K57" s="16"/>
      <c r="L57" s="15"/>
      <c r="M57" s="63"/>
      <c r="N57" s="17"/>
      <c r="O57" s="16"/>
      <c r="P57" s="16"/>
      <c r="Q57" s="152">
        <f t="shared" si="0"/>
        <v>0</v>
      </c>
      <c r="R57" s="152">
        <f t="shared" si="1"/>
        <v>5</v>
      </c>
      <c r="S57" s="152">
        <f t="shared" si="2"/>
        <v>5</v>
      </c>
      <c r="T57" s="18">
        <f t="shared" si="3"/>
        <v>5</v>
      </c>
    </row>
    <row r="58" spans="2:20" x14ac:dyDescent="0.25">
      <c r="B58" s="117" t="s">
        <v>100</v>
      </c>
      <c r="C58" s="136" t="s">
        <v>101</v>
      </c>
      <c r="D58" s="14" t="s">
        <v>15</v>
      </c>
      <c r="E58" s="14" t="s">
        <v>16</v>
      </c>
      <c r="F58" s="15">
        <v>45411</v>
      </c>
      <c r="G58" s="16">
        <v>0.11</v>
      </c>
      <c r="H58" s="15"/>
      <c r="I58" s="16"/>
      <c r="J58" s="15"/>
      <c r="K58" s="16"/>
      <c r="L58" s="15"/>
      <c r="M58" s="63"/>
      <c r="N58" s="17"/>
      <c r="O58" s="16"/>
      <c r="P58" s="16"/>
      <c r="Q58" s="152">
        <f t="shared" si="0"/>
        <v>0</v>
      </c>
      <c r="R58" s="152">
        <f t="shared" si="1"/>
        <v>0.11</v>
      </c>
      <c r="S58" s="152">
        <f t="shared" si="2"/>
        <v>0.11</v>
      </c>
      <c r="T58" s="18">
        <f t="shared" si="3"/>
        <v>0.11</v>
      </c>
    </row>
    <row r="59" spans="2:20" x14ac:dyDescent="0.25">
      <c r="B59" s="117" t="s">
        <v>777</v>
      </c>
      <c r="C59" s="136" t="s">
        <v>778</v>
      </c>
      <c r="D59" s="14" t="s">
        <v>15</v>
      </c>
      <c r="E59" s="14" t="s">
        <v>16</v>
      </c>
      <c r="F59" s="15">
        <v>45411</v>
      </c>
      <c r="G59" s="16">
        <v>2.15</v>
      </c>
      <c r="H59" s="15"/>
      <c r="I59" s="16"/>
      <c r="J59" s="15"/>
      <c r="K59" s="16"/>
      <c r="L59" s="15"/>
      <c r="M59" s="63"/>
      <c r="N59" s="17"/>
      <c r="O59" s="16"/>
      <c r="P59" s="16"/>
      <c r="Q59" s="152">
        <f t="shared" si="0"/>
        <v>0</v>
      </c>
      <c r="R59" s="152">
        <f t="shared" si="1"/>
        <v>2.15</v>
      </c>
      <c r="S59" s="152">
        <f t="shared" si="2"/>
        <v>2.15</v>
      </c>
      <c r="T59" s="18">
        <f t="shared" si="3"/>
        <v>2.15</v>
      </c>
    </row>
    <row r="60" spans="2:20" x14ac:dyDescent="0.25">
      <c r="B60" s="117" t="s">
        <v>865</v>
      </c>
      <c r="C60" s="136" t="s">
        <v>866</v>
      </c>
      <c r="D60" s="14" t="s">
        <v>15</v>
      </c>
      <c r="E60" s="14" t="s">
        <v>16</v>
      </c>
      <c r="F60" s="15">
        <v>45401</v>
      </c>
      <c r="G60" s="16">
        <v>1</v>
      </c>
      <c r="H60" s="15"/>
      <c r="I60" s="16"/>
      <c r="J60" s="15"/>
      <c r="K60" s="16"/>
      <c r="L60" s="15"/>
      <c r="M60" s="63"/>
      <c r="N60" s="17"/>
      <c r="O60" s="16"/>
      <c r="P60" s="16"/>
      <c r="Q60" s="152">
        <f t="shared" si="0"/>
        <v>0</v>
      </c>
      <c r="R60" s="152">
        <f t="shared" si="1"/>
        <v>1</v>
      </c>
      <c r="S60" s="152">
        <f t="shared" si="2"/>
        <v>1</v>
      </c>
      <c r="T60" s="18">
        <f t="shared" si="3"/>
        <v>1</v>
      </c>
    </row>
    <row r="61" spans="2:20" x14ac:dyDescent="0.25">
      <c r="B61" s="117" t="s">
        <v>104</v>
      </c>
      <c r="C61" s="136" t="s">
        <v>105</v>
      </c>
      <c r="D61" s="14" t="s">
        <v>27</v>
      </c>
      <c r="E61" s="14" t="s">
        <v>16</v>
      </c>
      <c r="F61" s="15">
        <v>45422</v>
      </c>
      <c r="G61" s="16">
        <v>1.8</v>
      </c>
      <c r="H61" s="15"/>
      <c r="I61" s="16"/>
      <c r="J61" s="15"/>
      <c r="K61" s="16"/>
      <c r="L61" s="15"/>
      <c r="M61" s="63"/>
      <c r="N61" s="17"/>
      <c r="O61" s="16"/>
      <c r="P61" s="16"/>
      <c r="Q61" s="152">
        <f t="shared" si="0"/>
        <v>0</v>
      </c>
      <c r="R61" s="152">
        <f t="shared" si="1"/>
        <v>1.8</v>
      </c>
      <c r="S61" s="152">
        <f t="shared" si="2"/>
        <v>1.8</v>
      </c>
      <c r="T61" s="18">
        <f t="shared" si="3"/>
        <v>1.8</v>
      </c>
    </row>
    <row r="62" spans="2:20" x14ac:dyDescent="0.25">
      <c r="B62" s="117" t="s">
        <v>108</v>
      </c>
      <c r="C62" s="136" t="s">
        <v>109</v>
      </c>
      <c r="D62" s="14" t="s">
        <v>15</v>
      </c>
      <c r="E62" s="14" t="s">
        <v>16</v>
      </c>
      <c r="F62" s="15">
        <v>45428</v>
      </c>
      <c r="G62" s="16">
        <v>6</v>
      </c>
      <c r="H62" s="15"/>
      <c r="I62" s="16"/>
      <c r="J62" s="15"/>
      <c r="K62" s="16"/>
      <c r="L62" s="15"/>
      <c r="M62" s="63"/>
      <c r="N62" s="17"/>
      <c r="O62" s="16"/>
      <c r="P62" s="16"/>
      <c r="Q62" s="152">
        <f t="shared" si="0"/>
        <v>0</v>
      </c>
      <c r="R62" s="152">
        <f t="shared" si="1"/>
        <v>6</v>
      </c>
      <c r="S62" s="152">
        <f t="shared" si="2"/>
        <v>6</v>
      </c>
      <c r="T62" s="18">
        <f t="shared" si="3"/>
        <v>6</v>
      </c>
    </row>
    <row r="63" spans="2:20" x14ac:dyDescent="0.25">
      <c r="B63" s="117" t="s">
        <v>110</v>
      </c>
      <c r="C63" s="136" t="s">
        <v>111</v>
      </c>
      <c r="D63" s="14" t="s">
        <v>24</v>
      </c>
      <c r="E63" s="14" t="s">
        <v>16</v>
      </c>
      <c r="F63" s="15">
        <v>45433</v>
      </c>
      <c r="G63" s="16">
        <v>4.5999999999999996</v>
      </c>
      <c r="H63" s="15"/>
      <c r="I63" s="16"/>
      <c r="J63" s="15"/>
      <c r="K63" s="16"/>
      <c r="L63" s="15"/>
      <c r="M63" s="63"/>
      <c r="N63" s="17"/>
      <c r="O63" s="16"/>
      <c r="P63" s="16"/>
      <c r="Q63" s="152">
        <f t="shared" si="0"/>
        <v>0</v>
      </c>
      <c r="R63" s="152">
        <f t="shared" si="1"/>
        <v>4.5999999999999996</v>
      </c>
      <c r="S63" s="152">
        <f t="shared" si="2"/>
        <v>4.5999999999999996</v>
      </c>
      <c r="T63" s="18">
        <f t="shared" si="3"/>
        <v>4.5999999999999996</v>
      </c>
    </row>
    <row r="64" spans="2:20" x14ac:dyDescent="0.25">
      <c r="B64" s="117" t="s">
        <v>832</v>
      </c>
      <c r="C64" s="136" t="s">
        <v>833</v>
      </c>
      <c r="D64" s="14" t="s">
        <v>15</v>
      </c>
      <c r="E64" s="14" t="s">
        <v>200</v>
      </c>
      <c r="F64" s="15">
        <v>45406</v>
      </c>
      <c r="G64" s="16">
        <v>7.5</v>
      </c>
      <c r="H64" s="15"/>
      <c r="I64" s="16"/>
      <c r="J64" s="15"/>
      <c r="K64" s="16"/>
      <c r="L64" s="15"/>
      <c r="M64" s="63"/>
      <c r="N64" s="17"/>
      <c r="O64" s="16"/>
      <c r="P64" s="16"/>
      <c r="Q64" s="152">
        <f t="shared" si="0"/>
        <v>0</v>
      </c>
      <c r="R64" s="152">
        <f t="shared" si="1"/>
        <v>7.5</v>
      </c>
      <c r="S64" s="152">
        <f t="shared" si="2"/>
        <v>7.5</v>
      </c>
      <c r="T64" s="18">
        <f t="shared" si="3"/>
        <v>7.5</v>
      </c>
    </row>
    <row r="65" spans="2:20" x14ac:dyDescent="0.25">
      <c r="B65" s="117" t="s">
        <v>114</v>
      </c>
      <c r="C65" s="136" t="s">
        <v>115</v>
      </c>
      <c r="D65" s="14" t="s">
        <v>24</v>
      </c>
      <c r="E65" s="14" t="s">
        <v>16</v>
      </c>
      <c r="F65" s="15">
        <v>45468</v>
      </c>
      <c r="G65" s="16">
        <v>0.05</v>
      </c>
      <c r="H65" s="15">
        <v>45538</v>
      </c>
      <c r="I65" s="16">
        <v>0.02</v>
      </c>
      <c r="J65" s="15"/>
      <c r="K65" s="16"/>
      <c r="L65" s="15"/>
      <c r="M65" s="63"/>
      <c r="N65" s="17"/>
      <c r="O65" s="16"/>
      <c r="P65" s="16"/>
      <c r="Q65" s="152">
        <f t="shared" si="0"/>
        <v>0</v>
      </c>
      <c r="R65" s="152">
        <f t="shared" si="1"/>
        <v>0</v>
      </c>
      <c r="S65" s="152">
        <f t="shared" si="2"/>
        <v>7.0000000000000007E-2</v>
      </c>
      <c r="T65" s="18">
        <f t="shared" si="3"/>
        <v>7.0000000000000007E-2</v>
      </c>
    </row>
    <row r="66" spans="2:20" x14ac:dyDescent="0.25">
      <c r="B66" s="117" t="s">
        <v>120</v>
      </c>
      <c r="C66" s="136" t="s">
        <v>121</v>
      </c>
      <c r="D66" s="14" t="s">
        <v>24</v>
      </c>
      <c r="E66" s="14" t="s">
        <v>16</v>
      </c>
      <c r="F66" s="15">
        <v>45412</v>
      </c>
      <c r="G66" s="16">
        <v>1.9</v>
      </c>
      <c r="H66" s="15"/>
      <c r="I66" s="16"/>
      <c r="J66" s="15"/>
      <c r="K66" s="16"/>
      <c r="L66" s="15"/>
      <c r="M66" s="63"/>
      <c r="N66" s="17"/>
      <c r="O66" s="16"/>
      <c r="P66" s="16"/>
      <c r="Q66" s="152">
        <f t="shared" si="0"/>
        <v>0</v>
      </c>
      <c r="R66" s="152">
        <f t="shared" si="1"/>
        <v>1.9</v>
      </c>
      <c r="S66" s="152">
        <f t="shared" si="2"/>
        <v>1.9</v>
      </c>
      <c r="T66" s="18">
        <f t="shared" si="3"/>
        <v>1.9</v>
      </c>
    </row>
    <row r="67" spans="2:20" x14ac:dyDescent="0.25">
      <c r="B67" s="117" t="s">
        <v>122</v>
      </c>
      <c r="C67" s="136" t="s">
        <v>123</v>
      </c>
      <c r="D67" s="14" t="s">
        <v>15</v>
      </c>
      <c r="E67" s="14" t="s">
        <v>761</v>
      </c>
      <c r="F67" s="15">
        <v>45337</v>
      </c>
      <c r="G67" s="16">
        <f>0.0727*100/1.0713*0.85258</f>
        <v>5.7857337813871013</v>
      </c>
      <c r="H67" s="15">
        <v>45428</v>
      </c>
      <c r="I67" s="16">
        <f>0.0727*100/1.0832*0.8584</f>
        <v>5.7612333825701629</v>
      </c>
      <c r="J67" s="15">
        <v>45512</v>
      </c>
      <c r="K67" s="16">
        <f>0.08*100/1.0922*0.85808</f>
        <v>6.2851492400659215</v>
      </c>
      <c r="L67" s="15">
        <v>45603</v>
      </c>
      <c r="M67" s="16">
        <f>0.08*100/1.0695*0.83223</f>
        <v>6.2251893408134649</v>
      </c>
      <c r="N67" s="17"/>
      <c r="O67" s="16"/>
      <c r="P67" s="16"/>
      <c r="Q67" s="152">
        <f t="shared" si="0"/>
        <v>5.7857337813871013</v>
      </c>
      <c r="R67" s="152">
        <f t="shared" si="1"/>
        <v>11.546967163957264</v>
      </c>
      <c r="S67" s="152">
        <f t="shared" si="2"/>
        <v>17.832116404023186</v>
      </c>
      <c r="T67" s="18">
        <f t="shared" si="3"/>
        <v>24.057305744836651</v>
      </c>
    </row>
    <row r="68" spans="2:20" x14ac:dyDescent="0.25">
      <c r="B68" s="117" t="s">
        <v>126</v>
      </c>
      <c r="C68" s="136" t="s">
        <v>127</v>
      </c>
      <c r="D68" s="14" t="s">
        <v>27</v>
      </c>
      <c r="E68" s="14" t="s">
        <v>16</v>
      </c>
      <c r="F68" s="15">
        <v>45427</v>
      </c>
      <c r="G68" s="16">
        <v>0.13</v>
      </c>
      <c r="H68" s="15"/>
      <c r="I68" s="16"/>
      <c r="J68" s="15"/>
      <c r="K68" s="16"/>
      <c r="L68" s="15"/>
      <c r="M68" s="63"/>
      <c r="N68" s="17"/>
      <c r="O68" s="16"/>
      <c r="P68" s="16"/>
      <c r="Q68" s="152">
        <f t="shared" si="0"/>
        <v>0</v>
      </c>
      <c r="R68" s="152">
        <f t="shared" si="1"/>
        <v>0.13</v>
      </c>
      <c r="S68" s="152">
        <f t="shared" si="2"/>
        <v>0.13</v>
      </c>
      <c r="T68" s="18">
        <f t="shared" si="3"/>
        <v>0.13</v>
      </c>
    </row>
    <row r="69" spans="2:20" x14ac:dyDescent="0.25">
      <c r="B69" s="117" t="s">
        <v>902</v>
      </c>
      <c r="C69" s="136" t="s">
        <v>903</v>
      </c>
      <c r="D69" s="14" t="s">
        <v>15</v>
      </c>
      <c r="E69" s="14" t="s">
        <v>16</v>
      </c>
      <c r="F69" s="15">
        <v>45436</v>
      </c>
      <c r="G69" s="16">
        <v>2.1</v>
      </c>
      <c r="H69" s="15"/>
      <c r="I69" s="16"/>
      <c r="J69" s="15"/>
      <c r="K69" s="16"/>
      <c r="L69" s="15"/>
      <c r="M69" s="63"/>
      <c r="N69" s="17"/>
      <c r="O69" s="16"/>
      <c r="P69" s="16"/>
      <c r="Q69" s="152">
        <f t="shared" si="0"/>
        <v>0</v>
      </c>
      <c r="R69" s="152">
        <f t="shared" si="1"/>
        <v>2.1</v>
      </c>
      <c r="S69" s="152">
        <f t="shared" si="2"/>
        <v>2.1</v>
      </c>
      <c r="T69" s="18">
        <f t="shared" si="3"/>
        <v>2.1</v>
      </c>
    </row>
    <row r="70" spans="2:20" x14ac:dyDescent="0.25">
      <c r="B70" s="117" t="s">
        <v>128</v>
      </c>
      <c r="C70" s="136" t="s">
        <v>129</v>
      </c>
      <c r="D70" s="14" t="s">
        <v>15</v>
      </c>
      <c r="E70" s="14" t="s">
        <v>761</v>
      </c>
      <c r="F70" s="15">
        <v>45281</v>
      </c>
      <c r="G70" s="16">
        <v>57.72</v>
      </c>
      <c r="H70" s="15">
        <v>45372</v>
      </c>
      <c r="I70" s="16">
        <v>58.8795</v>
      </c>
      <c r="J70" s="15">
        <v>45470</v>
      </c>
      <c r="K70" s="16">
        <v>58.8795</v>
      </c>
      <c r="L70" s="15">
        <v>45561</v>
      </c>
      <c r="M70" s="63">
        <v>58.8795</v>
      </c>
      <c r="N70" s="17">
        <v>45645</v>
      </c>
      <c r="O70" s="16">
        <v>58.8795</v>
      </c>
      <c r="P70" s="16"/>
      <c r="Q70" s="152">
        <f t="shared" si="0"/>
        <v>57.72</v>
      </c>
      <c r="R70" s="152">
        <f t="shared" si="1"/>
        <v>116.59950000000001</v>
      </c>
      <c r="S70" s="152">
        <f t="shared" si="2"/>
        <v>175.47900000000001</v>
      </c>
      <c r="T70" s="18">
        <f t="shared" si="3"/>
        <v>293.238</v>
      </c>
    </row>
    <row r="71" spans="2:20" x14ac:dyDescent="0.25">
      <c r="B71" s="117" t="s">
        <v>130</v>
      </c>
      <c r="C71" s="136" t="s">
        <v>131</v>
      </c>
      <c r="D71" s="14" t="s">
        <v>15</v>
      </c>
      <c r="E71" s="14" t="s">
        <v>761</v>
      </c>
      <c r="F71" s="15">
        <v>45288</v>
      </c>
      <c r="G71" s="16">
        <v>2.31</v>
      </c>
      <c r="H71" s="15">
        <v>45512</v>
      </c>
      <c r="I71" s="16">
        <v>5.69</v>
      </c>
      <c r="J71" s="15"/>
      <c r="K71" s="16"/>
      <c r="L71" s="15"/>
      <c r="M71" s="63"/>
      <c r="N71" s="17"/>
      <c r="O71" s="16"/>
      <c r="P71" s="16"/>
      <c r="Q71" s="152">
        <f t="shared" si="0"/>
        <v>2.31</v>
      </c>
      <c r="R71" s="152">
        <f t="shared" si="1"/>
        <v>2.31</v>
      </c>
      <c r="S71" s="152">
        <f t="shared" si="2"/>
        <v>8</v>
      </c>
      <c r="T71" s="18">
        <f t="shared" si="3"/>
        <v>8</v>
      </c>
    </row>
    <row r="72" spans="2:20" x14ac:dyDescent="0.25">
      <c r="B72" s="117" t="s">
        <v>132</v>
      </c>
      <c r="C72" s="136" t="s">
        <v>133</v>
      </c>
      <c r="D72" s="14" t="s">
        <v>15</v>
      </c>
      <c r="E72" s="14" t="s">
        <v>16</v>
      </c>
      <c r="F72" s="15">
        <v>45379</v>
      </c>
      <c r="G72" s="16">
        <v>0.39190000000000003</v>
      </c>
      <c r="H72" s="15">
        <v>45601</v>
      </c>
      <c r="I72" s="16">
        <v>0.14879999999999999</v>
      </c>
      <c r="J72" s="15"/>
      <c r="K72" s="16"/>
      <c r="L72" s="15"/>
      <c r="M72" s="63"/>
      <c r="N72" s="17"/>
      <c r="O72" s="16"/>
      <c r="P72" s="16"/>
      <c r="Q72" s="152">
        <f t="shared" si="0"/>
        <v>0</v>
      </c>
      <c r="R72" s="152">
        <f t="shared" si="1"/>
        <v>0.39190000000000003</v>
      </c>
      <c r="S72" s="152">
        <f t="shared" si="2"/>
        <v>0.39190000000000003</v>
      </c>
      <c r="T72" s="18">
        <f t="shared" si="3"/>
        <v>0.54069999999999996</v>
      </c>
    </row>
    <row r="73" spans="2:20" x14ac:dyDescent="0.25">
      <c r="B73" s="117" t="s">
        <v>608</v>
      </c>
      <c r="C73" s="136" t="s">
        <v>134</v>
      </c>
      <c r="D73" s="14" t="s">
        <v>24</v>
      </c>
      <c r="E73" s="14" t="s">
        <v>16</v>
      </c>
      <c r="F73" s="15">
        <v>45441</v>
      </c>
      <c r="G73" s="16">
        <v>3.4</v>
      </c>
      <c r="H73" s="15"/>
      <c r="I73" s="16"/>
      <c r="J73" s="15"/>
      <c r="K73" s="16"/>
      <c r="L73" s="15"/>
      <c r="M73" s="63"/>
      <c r="N73" s="17"/>
      <c r="O73" s="16"/>
      <c r="P73" s="16"/>
      <c r="Q73" s="152">
        <f t="shared" si="0"/>
        <v>0</v>
      </c>
      <c r="R73" s="152">
        <f t="shared" si="1"/>
        <v>3.4</v>
      </c>
      <c r="S73" s="152">
        <f t="shared" si="2"/>
        <v>3.4</v>
      </c>
      <c r="T73" s="18">
        <f t="shared" si="3"/>
        <v>3.4</v>
      </c>
    </row>
    <row r="74" spans="2:20" x14ac:dyDescent="0.25">
      <c r="B74" s="117" t="s">
        <v>135</v>
      </c>
      <c r="C74" s="136" t="s">
        <v>136</v>
      </c>
      <c r="D74" s="14" t="s">
        <v>24</v>
      </c>
      <c r="E74" s="14" t="s">
        <v>16</v>
      </c>
      <c r="F74" s="15">
        <v>45440</v>
      </c>
      <c r="G74" s="16">
        <v>0.87</v>
      </c>
      <c r="H74" s="15"/>
      <c r="I74" s="16"/>
      <c r="J74" s="15"/>
      <c r="K74" s="16"/>
      <c r="L74" s="15"/>
      <c r="M74" s="63"/>
      <c r="N74" s="17"/>
      <c r="O74" s="16"/>
      <c r="P74" s="16"/>
      <c r="Q74" s="152">
        <f t="shared" si="0"/>
        <v>0</v>
      </c>
      <c r="R74" s="152">
        <f t="shared" si="1"/>
        <v>0.87</v>
      </c>
      <c r="S74" s="152">
        <f t="shared" si="2"/>
        <v>0.87</v>
      </c>
      <c r="T74" s="18">
        <f t="shared" si="3"/>
        <v>0.87</v>
      </c>
    </row>
    <row r="75" spans="2:20" x14ac:dyDescent="0.25">
      <c r="B75" s="117" t="s">
        <v>610</v>
      </c>
      <c r="C75" s="136" t="s">
        <v>326</v>
      </c>
      <c r="D75" s="45" t="s">
        <v>15</v>
      </c>
      <c r="E75" s="45" t="s">
        <v>16</v>
      </c>
      <c r="F75" s="15"/>
      <c r="G75" s="16"/>
      <c r="H75" s="15"/>
      <c r="I75" s="16"/>
      <c r="J75" s="15"/>
      <c r="K75" s="16"/>
      <c r="L75" s="15"/>
      <c r="M75" s="63"/>
      <c r="N75" s="17"/>
      <c r="O75" s="16"/>
      <c r="P75" s="16"/>
      <c r="Q75" s="152">
        <f>IF(F75&lt;=Exp24Q1,G75,0)+IF(H75&lt;=Exp24Q1,I75,0)+IF(J75&lt;=Exp24Q1,K75,0)+IF(L75&lt;=Exp24Q1,M75,0)+IF(N75&lt;=Exp24Q1,O75,0)</f>
        <v>0</v>
      </c>
      <c r="R75" s="152">
        <f>IF(F75&lt;=Exp24H1,G75,0)+IF(H75&lt;=Exp24H1,I75,0)+IF(J75&lt;=Exp24H1,K75,0)+IF(L75&lt;=Exp24H1,M75,0)+IF(N75&lt;=Exp24H1,O75,0)</f>
        <v>0</v>
      </c>
      <c r="S75" s="152">
        <f>IF(F75&lt;=Exp24Q3,G75,0)+IF(H75&lt;=Exp24Q3,I75,0)+IF(J75&lt;=Exp24Q3,K75,0)+IF(L75&lt;=Exp24Q3,M75,0)+IF(N75&lt;=Exp24Q3,O75,0)</f>
        <v>0</v>
      </c>
      <c r="T75" s="18">
        <f>G75+I75+K75+M75+O75</f>
        <v>0</v>
      </c>
    </row>
    <row r="76" spans="2:20" x14ac:dyDescent="0.25">
      <c r="B76" s="117" t="s">
        <v>139</v>
      </c>
      <c r="C76" s="136" t="s">
        <v>140</v>
      </c>
      <c r="D76" s="14" t="s">
        <v>15</v>
      </c>
      <c r="E76" s="14" t="s">
        <v>761</v>
      </c>
      <c r="F76" s="15">
        <v>45442</v>
      </c>
      <c r="G76" s="16">
        <v>2.67</v>
      </c>
      <c r="H76" s="15">
        <v>45568</v>
      </c>
      <c r="I76" s="16">
        <v>1.5</v>
      </c>
      <c r="J76" s="15"/>
      <c r="K76" s="16"/>
      <c r="L76" s="15"/>
      <c r="M76" s="63"/>
      <c r="N76" s="17"/>
      <c r="O76" s="16"/>
      <c r="P76" s="16"/>
      <c r="Q76" s="152">
        <f t="shared" si="0"/>
        <v>0</v>
      </c>
      <c r="R76" s="152">
        <f t="shared" ref="R76:R141" si="4">IF(F76&lt;=Exp24H1,G76,0)+IF(H76&lt;=Exp24H1,I76,0)+IF(J76&lt;=Exp24H1,K76,0)+IF(L76&lt;=Exp24H1,M76,0)+IF(N76&lt;=Exp24H1,O76,0)</f>
        <v>2.67</v>
      </c>
      <c r="S76" s="152">
        <f t="shared" ref="S76:S141" si="5">IF(F76&lt;=Exp24Q3,G76,0)+IF(H76&lt;=Exp24Q3,I76,0)+IF(J76&lt;=Exp24Q3,K76,0)+IF(L76&lt;=Exp24Q3,M76,0)+IF(N76&lt;=Exp24Q3,O76,0)</f>
        <v>2.67</v>
      </c>
      <c r="T76" s="18">
        <f t="shared" si="3"/>
        <v>4.17</v>
      </c>
    </row>
    <row r="77" spans="2:20" x14ac:dyDescent="0.25">
      <c r="B77" s="117" t="s">
        <v>151</v>
      </c>
      <c r="C77" s="136" t="s">
        <v>152</v>
      </c>
      <c r="D77" s="14" t="s">
        <v>15</v>
      </c>
      <c r="E77" s="14" t="s">
        <v>16</v>
      </c>
      <c r="F77" s="15">
        <v>45442</v>
      </c>
      <c r="G77" s="16">
        <v>0.93</v>
      </c>
      <c r="H77" s="15"/>
      <c r="I77" s="16"/>
      <c r="J77" s="15"/>
      <c r="K77" s="16"/>
      <c r="L77" s="15"/>
      <c r="M77" s="63"/>
      <c r="N77" s="17"/>
      <c r="O77" s="16"/>
      <c r="P77" s="16"/>
      <c r="Q77" s="152">
        <f t="shared" si="0"/>
        <v>0</v>
      </c>
      <c r="R77" s="152">
        <f t="shared" si="4"/>
        <v>0.93</v>
      </c>
      <c r="S77" s="152">
        <f t="shared" si="5"/>
        <v>0.93</v>
      </c>
      <c r="T77" s="18">
        <f t="shared" si="3"/>
        <v>0.93</v>
      </c>
    </row>
    <row r="78" spans="2:20" x14ac:dyDescent="0.25">
      <c r="B78" s="117" t="s">
        <v>806</v>
      </c>
      <c r="C78" s="136" t="s">
        <v>807</v>
      </c>
      <c r="D78" s="14" t="s">
        <v>27</v>
      </c>
      <c r="E78" s="14" t="s">
        <v>16</v>
      </c>
      <c r="F78" s="15">
        <v>45425</v>
      </c>
      <c r="G78" s="16">
        <v>6.2</v>
      </c>
      <c r="H78" s="15"/>
      <c r="I78" s="16"/>
      <c r="J78" s="15"/>
      <c r="K78" s="16"/>
      <c r="L78" s="15"/>
      <c r="M78" s="63"/>
      <c r="N78" s="17"/>
      <c r="O78" s="16"/>
      <c r="P78" s="16"/>
      <c r="Q78" s="152">
        <f t="shared" ref="Q78:Q144" si="6">IF(F78&lt;=Exp24Q1,G78,0)+IF(H78&lt;=Exp24Q1,I78,0)+IF(J78&lt;=Exp24Q1,K78,0)+IF(L78&lt;=Exp24Q1,M78,0)+IF(N78&lt;=Exp24Q1,O78,0)</f>
        <v>0</v>
      </c>
      <c r="R78" s="152">
        <f t="shared" si="4"/>
        <v>6.2</v>
      </c>
      <c r="S78" s="152">
        <f t="shared" si="5"/>
        <v>6.2</v>
      </c>
      <c r="T78" s="18">
        <f t="shared" si="3"/>
        <v>6.2</v>
      </c>
    </row>
    <row r="79" spans="2:20" x14ac:dyDescent="0.25">
      <c r="B79" s="117" t="s">
        <v>153</v>
      </c>
      <c r="C79" s="136" t="s">
        <v>154</v>
      </c>
      <c r="D79" s="14" t="s">
        <v>27</v>
      </c>
      <c r="E79" s="14" t="s">
        <v>16</v>
      </c>
      <c r="F79" s="15">
        <v>45562</v>
      </c>
      <c r="G79" s="16">
        <v>1.38</v>
      </c>
      <c r="H79" s="15"/>
      <c r="I79" s="16"/>
      <c r="J79" s="15"/>
      <c r="K79" s="16"/>
      <c r="L79" s="15"/>
      <c r="M79" s="63"/>
      <c r="N79" s="17"/>
      <c r="O79" s="16"/>
      <c r="P79" s="16"/>
      <c r="Q79" s="152">
        <f t="shared" si="6"/>
        <v>0</v>
      </c>
      <c r="R79" s="152">
        <f t="shared" si="4"/>
        <v>0</v>
      </c>
      <c r="S79" s="152">
        <f t="shared" si="5"/>
        <v>0</v>
      </c>
      <c r="T79" s="18">
        <f t="shared" si="3"/>
        <v>1.38</v>
      </c>
    </row>
    <row r="80" spans="2:20" x14ac:dyDescent="0.25">
      <c r="B80" s="117" t="s">
        <v>156</v>
      </c>
      <c r="C80" s="136" t="s">
        <v>157</v>
      </c>
      <c r="D80" s="14" t="s">
        <v>15</v>
      </c>
      <c r="E80" s="14" t="s">
        <v>21</v>
      </c>
      <c r="F80" s="15">
        <v>45554</v>
      </c>
      <c r="G80" s="16">
        <v>2.75</v>
      </c>
      <c r="H80" s="15"/>
      <c r="I80" s="16"/>
      <c r="J80" s="15"/>
      <c r="K80" s="16"/>
      <c r="L80" s="15"/>
      <c r="M80" s="63"/>
      <c r="N80" s="17"/>
      <c r="O80" s="16"/>
      <c r="P80" s="16"/>
      <c r="Q80" s="152">
        <f t="shared" si="6"/>
        <v>0</v>
      </c>
      <c r="R80" s="152">
        <f t="shared" si="4"/>
        <v>0</v>
      </c>
      <c r="S80" s="152">
        <f t="shared" si="5"/>
        <v>2.75</v>
      </c>
      <c r="T80" s="18">
        <f t="shared" si="3"/>
        <v>2.75</v>
      </c>
    </row>
    <row r="81" spans="2:20" x14ac:dyDescent="0.25">
      <c r="B81" s="117" t="s">
        <v>158</v>
      </c>
      <c r="C81" s="136" t="s">
        <v>159</v>
      </c>
      <c r="D81" s="14" t="s">
        <v>15</v>
      </c>
      <c r="E81" s="14" t="s">
        <v>761</v>
      </c>
      <c r="F81" s="15">
        <v>45309</v>
      </c>
      <c r="G81" s="16">
        <v>28.1</v>
      </c>
      <c r="H81" s="15">
        <v>45456</v>
      </c>
      <c r="I81" s="16">
        <f>20.7/1.0765*0.84365</f>
        <v>16.222531351602417</v>
      </c>
      <c r="J81" s="15"/>
      <c r="K81" s="16"/>
      <c r="L81" s="15"/>
      <c r="M81" s="63"/>
      <c r="N81" s="17"/>
      <c r="O81" s="16"/>
      <c r="P81" s="16"/>
      <c r="Q81" s="152">
        <f t="shared" si="6"/>
        <v>28.1</v>
      </c>
      <c r="R81" s="152">
        <f t="shared" si="4"/>
        <v>44.322531351602422</v>
      </c>
      <c r="S81" s="152">
        <f t="shared" si="5"/>
        <v>44.322531351602422</v>
      </c>
      <c r="T81" s="18">
        <f t="shared" si="3"/>
        <v>44.322531351602422</v>
      </c>
    </row>
    <row r="82" spans="2:20" x14ac:dyDescent="0.25">
      <c r="B82" s="117" t="s">
        <v>164</v>
      </c>
      <c r="C82" s="136" t="s">
        <v>165</v>
      </c>
      <c r="D82" s="14" t="s">
        <v>24</v>
      </c>
      <c r="E82" s="14" t="s">
        <v>16</v>
      </c>
      <c r="F82" s="15">
        <v>45441</v>
      </c>
      <c r="G82" s="16">
        <v>1.05</v>
      </c>
      <c r="H82" s="15"/>
      <c r="I82" s="16"/>
      <c r="J82" s="15"/>
      <c r="K82" s="16"/>
      <c r="L82" s="15"/>
      <c r="M82" s="63"/>
      <c r="N82" s="17"/>
      <c r="O82" s="16"/>
      <c r="P82" s="16"/>
      <c r="Q82" s="152">
        <f t="shared" si="6"/>
        <v>0</v>
      </c>
      <c r="R82" s="152">
        <f t="shared" si="4"/>
        <v>1.05</v>
      </c>
      <c r="S82" s="152">
        <f t="shared" si="5"/>
        <v>1.05</v>
      </c>
      <c r="T82" s="18">
        <f t="shared" si="3"/>
        <v>1.05</v>
      </c>
    </row>
    <row r="83" spans="2:20" x14ac:dyDescent="0.25">
      <c r="B83" s="158" t="s">
        <v>820</v>
      </c>
      <c r="C83" s="159" t="s">
        <v>821</v>
      </c>
      <c r="D83" s="45" t="s">
        <v>15</v>
      </c>
      <c r="E83" s="45" t="s">
        <v>16</v>
      </c>
      <c r="F83" s="15">
        <v>45428</v>
      </c>
      <c r="G83" s="16">
        <v>1.9</v>
      </c>
      <c r="H83" s="15"/>
      <c r="I83" s="16"/>
      <c r="J83" s="15"/>
      <c r="K83" s="16"/>
      <c r="L83" s="15"/>
      <c r="M83" s="63"/>
      <c r="N83" s="17"/>
      <c r="O83" s="16"/>
      <c r="P83" s="47"/>
      <c r="Q83" s="152">
        <f t="shared" si="6"/>
        <v>0</v>
      </c>
      <c r="R83" s="152">
        <f t="shared" si="4"/>
        <v>1.9</v>
      </c>
      <c r="S83" s="152">
        <f t="shared" si="5"/>
        <v>1.9</v>
      </c>
      <c r="T83" s="18">
        <f t="shared" ref="T83:T148" si="7">G83+I83+K83+M83+O83</f>
        <v>1.9</v>
      </c>
    </row>
    <row r="84" spans="2:20" x14ac:dyDescent="0.25">
      <c r="B84" s="158" t="s">
        <v>172</v>
      </c>
      <c r="C84" s="159" t="s">
        <v>173</v>
      </c>
      <c r="D84" s="45" t="s">
        <v>24</v>
      </c>
      <c r="E84" s="45" t="s">
        <v>16</v>
      </c>
      <c r="F84" s="15">
        <v>45415</v>
      </c>
      <c r="G84" s="16">
        <v>2.1</v>
      </c>
      <c r="H84" s="15"/>
      <c r="I84" s="16"/>
      <c r="J84" s="15"/>
      <c r="K84" s="16"/>
      <c r="L84" s="15"/>
      <c r="M84" s="63"/>
      <c r="N84" s="17"/>
      <c r="O84" s="16"/>
      <c r="P84" s="47"/>
      <c r="Q84" s="152">
        <f t="shared" si="6"/>
        <v>0</v>
      </c>
      <c r="R84" s="152">
        <f t="shared" si="4"/>
        <v>2.1</v>
      </c>
      <c r="S84" s="152">
        <f t="shared" si="5"/>
        <v>2.1</v>
      </c>
      <c r="T84" s="49">
        <f t="shared" si="7"/>
        <v>2.1</v>
      </c>
    </row>
    <row r="85" spans="2:20" x14ac:dyDescent="0.25">
      <c r="B85" s="158" t="s">
        <v>857</v>
      </c>
      <c r="C85" s="159" t="s">
        <v>858</v>
      </c>
      <c r="D85" s="45" t="s">
        <v>24</v>
      </c>
      <c r="E85" s="45" t="s">
        <v>16</v>
      </c>
      <c r="F85" s="15">
        <v>45439</v>
      </c>
      <c r="G85" s="16">
        <v>0.23</v>
      </c>
      <c r="H85" s="15"/>
      <c r="I85" s="16"/>
      <c r="J85" s="15"/>
      <c r="K85" s="16"/>
      <c r="L85" s="15"/>
      <c r="M85" s="63"/>
      <c r="N85" s="17"/>
      <c r="O85" s="16"/>
      <c r="P85" s="47"/>
      <c r="Q85" s="152">
        <f t="shared" si="6"/>
        <v>0</v>
      </c>
      <c r="R85" s="152">
        <f t="shared" si="4"/>
        <v>0.23</v>
      </c>
      <c r="S85" s="152">
        <f t="shared" si="5"/>
        <v>0.23</v>
      </c>
      <c r="T85" s="49">
        <f t="shared" si="7"/>
        <v>0.23</v>
      </c>
    </row>
    <row r="86" spans="2:20" x14ac:dyDescent="0.25">
      <c r="B86" s="158" t="s">
        <v>894</v>
      </c>
      <c r="C86" s="159" t="s">
        <v>895</v>
      </c>
      <c r="D86" s="45" t="s">
        <v>24</v>
      </c>
      <c r="E86" s="45" t="s">
        <v>16</v>
      </c>
      <c r="F86" s="15">
        <v>45336</v>
      </c>
      <c r="G86" s="16">
        <v>0.16</v>
      </c>
      <c r="H86" s="15"/>
      <c r="I86" s="16"/>
      <c r="J86" s="15"/>
      <c r="K86" s="16"/>
      <c r="L86" s="15"/>
      <c r="M86" s="63"/>
      <c r="N86" s="17"/>
      <c r="O86" s="16"/>
      <c r="P86" s="47"/>
      <c r="Q86" s="152">
        <f t="shared" si="6"/>
        <v>0.16</v>
      </c>
      <c r="R86" s="152">
        <f t="shared" si="4"/>
        <v>0.16</v>
      </c>
      <c r="S86" s="152">
        <f t="shared" si="5"/>
        <v>0.16</v>
      </c>
      <c r="T86" s="49">
        <f t="shared" si="7"/>
        <v>0.16</v>
      </c>
    </row>
    <row r="87" spans="2:20" x14ac:dyDescent="0.25">
      <c r="B87" s="117" t="s">
        <v>174</v>
      </c>
      <c r="C87" s="136" t="s">
        <v>175</v>
      </c>
      <c r="D87" s="14" t="s">
        <v>15</v>
      </c>
      <c r="E87" s="14" t="s">
        <v>16</v>
      </c>
      <c r="F87" s="15">
        <v>45429</v>
      </c>
      <c r="G87" s="16">
        <v>0.45</v>
      </c>
      <c r="H87" s="15"/>
      <c r="I87" s="16"/>
      <c r="J87" s="15"/>
      <c r="K87" s="16"/>
      <c r="L87" s="15"/>
      <c r="M87" s="63"/>
      <c r="N87" s="17"/>
      <c r="O87" s="16"/>
      <c r="P87" s="16"/>
      <c r="Q87" s="152">
        <f t="shared" si="6"/>
        <v>0</v>
      </c>
      <c r="R87" s="152">
        <f t="shared" si="4"/>
        <v>0.45</v>
      </c>
      <c r="S87" s="152">
        <f t="shared" si="5"/>
        <v>0.45</v>
      </c>
      <c r="T87" s="18">
        <f t="shared" si="7"/>
        <v>0.45</v>
      </c>
    </row>
    <row r="88" spans="2:20" x14ac:dyDescent="0.25">
      <c r="B88" s="117" t="s">
        <v>176</v>
      </c>
      <c r="C88" s="136" t="s">
        <v>177</v>
      </c>
      <c r="D88" s="14" t="s">
        <v>15</v>
      </c>
      <c r="E88" s="14" t="s">
        <v>16</v>
      </c>
      <c r="F88" s="15">
        <v>45427</v>
      </c>
      <c r="G88" s="16">
        <v>3.8</v>
      </c>
      <c r="H88" s="15"/>
      <c r="I88" s="16"/>
      <c r="J88" s="15"/>
      <c r="K88" s="16"/>
      <c r="L88" s="15"/>
      <c r="M88" s="63"/>
      <c r="N88" s="17"/>
      <c r="O88" s="16"/>
      <c r="P88" s="16"/>
      <c r="Q88" s="152">
        <f t="shared" si="6"/>
        <v>0</v>
      </c>
      <c r="R88" s="152">
        <f t="shared" si="4"/>
        <v>3.8</v>
      </c>
      <c r="S88" s="152">
        <f t="shared" si="5"/>
        <v>3.8</v>
      </c>
      <c r="T88" s="18">
        <f t="shared" si="7"/>
        <v>3.8</v>
      </c>
    </row>
    <row r="89" spans="2:20" x14ac:dyDescent="0.25">
      <c r="B89" s="117" t="s">
        <v>178</v>
      </c>
      <c r="C89" s="136" t="s">
        <v>179</v>
      </c>
      <c r="D89" s="14" t="s">
        <v>15</v>
      </c>
      <c r="E89" s="14" t="s">
        <v>16</v>
      </c>
      <c r="F89" s="15">
        <v>45420</v>
      </c>
      <c r="G89" s="16">
        <v>0.3</v>
      </c>
      <c r="H89" s="15"/>
      <c r="I89" s="16"/>
      <c r="J89" s="15"/>
      <c r="K89" s="16"/>
      <c r="L89" s="15"/>
      <c r="M89" s="63"/>
      <c r="N89" s="17"/>
      <c r="O89" s="16"/>
      <c r="P89" s="16"/>
      <c r="Q89" s="152">
        <f t="shared" si="6"/>
        <v>0</v>
      </c>
      <c r="R89" s="152">
        <f t="shared" si="4"/>
        <v>0.3</v>
      </c>
      <c r="S89" s="152">
        <f t="shared" si="5"/>
        <v>0.3</v>
      </c>
      <c r="T89" s="18">
        <f t="shared" si="7"/>
        <v>0.3</v>
      </c>
    </row>
    <row r="90" spans="2:20" x14ac:dyDescent="0.25">
      <c r="B90" s="117" t="s">
        <v>938</v>
      </c>
      <c r="C90" s="136" t="s">
        <v>181</v>
      </c>
      <c r="D90" s="14" t="s">
        <v>15</v>
      </c>
      <c r="E90" s="14" t="s">
        <v>16</v>
      </c>
      <c r="F90" s="15">
        <v>45418</v>
      </c>
      <c r="G90" s="16">
        <v>1.85</v>
      </c>
      <c r="H90" s="15"/>
      <c r="I90" s="16"/>
      <c r="J90" s="15"/>
      <c r="K90" s="16"/>
      <c r="L90" s="15"/>
      <c r="M90" s="63"/>
      <c r="N90" s="17"/>
      <c r="O90" s="16"/>
      <c r="P90" s="16"/>
      <c r="Q90" s="152">
        <f t="shared" si="6"/>
        <v>0</v>
      </c>
      <c r="R90" s="152">
        <f t="shared" si="4"/>
        <v>1.85</v>
      </c>
      <c r="S90" s="152">
        <f t="shared" si="5"/>
        <v>1.85</v>
      </c>
      <c r="T90" s="18">
        <f>G90+I90+K90+M90+O90</f>
        <v>1.85</v>
      </c>
    </row>
    <row r="91" spans="2:20" x14ac:dyDescent="0.25">
      <c r="B91" s="117" t="s">
        <v>182</v>
      </c>
      <c r="C91" s="136" t="s">
        <v>183</v>
      </c>
      <c r="D91" s="14" t="s">
        <v>15</v>
      </c>
      <c r="E91" s="14" t="s">
        <v>16</v>
      </c>
      <c r="F91" s="15">
        <v>45393</v>
      </c>
      <c r="G91" s="16">
        <v>0.77</v>
      </c>
      <c r="H91" s="15"/>
      <c r="I91" s="16"/>
      <c r="J91" s="15"/>
      <c r="K91" s="16"/>
      <c r="L91" s="15"/>
      <c r="M91" s="63"/>
      <c r="N91" s="17"/>
      <c r="O91" s="16"/>
      <c r="P91" s="16"/>
      <c r="Q91" s="152">
        <f>IF(F91&lt;=Exp24Q1,G91,0)+IF(H91&lt;=Exp24Q1,I91,0)+IF(J91&lt;=Exp24Q1,K91,0)+IF(L91&lt;=Exp24Q1,M91,0)+IF(N91&lt;=Exp24Q1,O91,0)</f>
        <v>0</v>
      </c>
      <c r="R91" s="152">
        <f>IF(F91&lt;=Exp24H1,G91,0)+IF(H91&lt;=Exp24H1,I91,0)+IF(J91&lt;=Exp24H1,K91,0)+IF(L91&lt;=Exp24H1,M91,0)+IF(N91&lt;=Exp24H1,O91,0)</f>
        <v>0.77</v>
      </c>
      <c r="S91" s="152">
        <f>IF(F91&lt;=Exp24Q3,G91,0)+IF(H91&lt;=Exp24Q3,I91,0)+IF(J91&lt;=Exp24Q3,K91,0)+IF(L91&lt;=Exp24Q3,M91,0)+IF(N91&lt;=Exp24Q3,O91,0)</f>
        <v>0.77</v>
      </c>
      <c r="T91" s="18">
        <f>G91+I91+K91+M91+O91</f>
        <v>0.77</v>
      </c>
    </row>
    <row r="92" spans="2:20" x14ac:dyDescent="0.25">
      <c r="B92" s="117" t="s">
        <v>184</v>
      </c>
      <c r="C92" s="136" t="s">
        <v>185</v>
      </c>
      <c r="D92" s="14" t="s">
        <v>15</v>
      </c>
      <c r="E92" s="14" t="s">
        <v>761</v>
      </c>
      <c r="F92" s="15">
        <v>45351</v>
      </c>
      <c r="G92" s="16">
        <f>(0.405/1.0826)*0.85655*100</f>
        <v>32.043483280990209</v>
      </c>
      <c r="H92" s="15">
        <v>45533</v>
      </c>
      <c r="I92" s="16">
        <f>(0.6298/1.1117)*0.84163*100</f>
        <v>47.680001259332563</v>
      </c>
      <c r="J92" s="15"/>
      <c r="K92" s="16"/>
      <c r="L92" s="15"/>
      <c r="M92" s="63"/>
      <c r="N92" s="17"/>
      <c r="O92" s="16"/>
      <c r="P92" s="16"/>
      <c r="Q92" s="152">
        <f t="shared" si="6"/>
        <v>32.043483280990209</v>
      </c>
      <c r="R92" s="152">
        <f t="shared" si="4"/>
        <v>32.043483280990209</v>
      </c>
      <c r="S92" s="152">
        <f t="shared" si="5"/>
        <v>79.723484540322772</v>
      </c>
      <c r="T92" s="18">
        <f t="shared" si="7"/>
        <v>79.723484540322772</v>
      </c>
    </row>
    <row r="93" spans="2:20" x14ac:dyDescent="0.25">
      <c r="B93" s="117" t="s">
        <v>781</v>
      </c>
      <c r="C93" s="136" t="s">
        <v>187</v>
      </c>
      <c r="D93" s="14" t="s">
        <v>27</v>
      </c>
      <c r="E93" s="14" t="s">
        <v>16</v>
      </c>
      <c r="F93" s="147">
        <v>45454</v>
      </c>
      <c r="G93" s="148">
        <f>3.75*0.62907268</f>
        <v>2.3590225500000002</v>
      </c>
      <c r="H93" s="15"/>
      <c r="I93" s="16"/>
      <c r="J93" s="15"/>
      <c r="K93" s="16"/>
      <c r="L93" s="15"/>
      <c r="M93" s="63"/>
      <c r="N93" s="17"/>
      <c r="O93" s="16"/>
      <c r="P93" s="16"/>
      <c r="Q93" s="152">
        <f t="shared" si="6"/>
        <v>0</v>
      </c>
      <c r="R93" s="152">
        <f t="shared" si="4"/>
        <v>2.3590225500000002</v>
      </c>
      <c r="S93" s="152">
        <f t="shared" si="5"/>
        <v>2.3590225500000002</v>
      </c>
      <c r="T93" s="18">
        <f t="shared" si="7"/>
        <v>2.3590225500000002</v>
      </c>
    </row>
    <row r="94" spans="2:20" x14ac:dyDescent="0.25">
      <c r="B94" s="117" t="s">
        <v>188</v>
      </c>
      <c r="C94" s="136" t="s">
        <v>189</v>
      </c>
      <c r="D94" s="14" t="s">
        <v>15</v>
      </c>
      <c r="E94" s="14" t="s">
        <v>16</v>
      </c>
      <c r="F94" s="15"/>
      <c r="G94" s="16"/>
      <c r="H94" s="15"/>
      <c r="I94" s="16"/>
      <c r="J94" s="15"/>
      <c r="K94" s="16"/>
      <c r="L94" s="15"/>
      <c r="M94" s="63"/>
      <c r="N94" s="17"/>
      <c r="O94" s="16"/>
      <c r="P94" s="16"/>
      <c r="Q94" s="152">
        <f t="shared" si="6"/>
        <v>0</v>
      </c>
      <c r="R94" s="152">
        <f t="shared" si="4"/>
        <v>0</v>
      </c>
      <c r="S94" s="152">
        <f t="shared" si="5"/>
        <v>0</v>
      </c>
      <c r="T94" s="18">
        <f t="shared" si="7"/>
        <v>0</v>
      </c>
    </row>
    <row r="95" spans="2:20" x14ac:dyDescent="0.25">
      <c r="B95" s="117" t="s">
        <v>913</v>
      </c>
      <c r="C95" s="136" t="s">
        <v>914</v>
      </c>
      <c r="D95" s="14" t="s">
        <v>755</v>
      </c>
      <c r="E95" s="14" t="s">
        <v>475</v>
      </c>
      <c r="F95" s="15">
        <v>45412</v>
      </c>
      <c r="G95" s="16">
        <v>16</v>
      </c>
      <c r="H95" s="15"/>
      <c r="I95" s="16"/>
      <c r="J95" s="15"/>
      <c r="K95" s="16"/>
      <c r="L95" s="15"/>
      <c r="M95" s="63"/>
      <c r="N95" s="17"/>
      <c r="O95" s="16"/>
      <c r="P95" s="16"/>
      <c r="Q95" s="152">
        <f t="shared" si="6"/>
        <v>0</v>
      </c>
      <c r="R95" s="152">
        <f t="shared" si="4"/>
        <v>16</v>
      </c>
      <c r="S95" s="152">
        <f t="shared" si="5"/>
        <v>16</v>
      </c>
      <c r="T95" s="18">
        <f t="shared" si="7"/>
        <v>16</v>
      </c>
    </row>
    <row r="96" spans="2:20" x14ac:dyDescent="0.25">
      <c r="B96" s="117" t="s">
        <v>929</v>
      </c>
      <c r="C96" s="136" t="s">
        <v>191</v>
      </c>
      <c r="D96" s="14" t="s">
        <v>15</v>
      </c>
      <c r="E96" s="14" t="s">
        <v>16</v>
      </c>
      <c r="F96" s="15">
        <v>45421</v>
      </c>
      <c r="G96" s="16">
        <v>2.5</v>
      </c>
      <c r="H96" s="15"/>
      <c r="I96" s="16"/>
      <c r="J96" s="15"/>
      <c r="K96" s="16"/>
      <c r="L96" s="15"/>
      <c r="M96" s="63"/>
      <c r="N96" s="17"/>
      <c r="O96" s="16"/>
      <c r="P96" s="16"/>
      <c r="Q96" s="152">
        <f t="shared" si="6"/>
        <v>0</v>
      </c>
      <c r="R96" s="152">
        <f t="shared" si="4"/>
        <v>2.5</v>
      </c>
      <c r="S96" s="152">
        <f t="shared" si="5"/>
        <v>2.5</v>
      </c>
      <c r="T96" s="18">
        <f t="shared" si="7"/>
        <v>2.5</v>
      </c>
    </row>
    <row r="97" spans="2:20" x14ac:dyDescent="0.25">
      <c r="B97" s="117" t="s">
        <v>194</v>
      </c>
      <c r="C97" s="136" t="s">
        <v>195</v>
      </c>
      <c r="D97" s="14" t="s">
        <v>15</v>
      </c>
      <c r="E97" s="14" t="s">
        <v>16</v>
      </c>
      <c r="F97" s="15">
        <v>45429</v>
      </c>
      <c r="G97" s="16">
        <v>0.53</v>
      </c>
      <c r="H97" s="15"/>
      <c r="I97" s="16"/>
      <c r="J97" s="15"/>
      <c r="K97" s="16"/>
      <c r="L97" s="15"/>
      <c r="M97" s="63"/>
      <c r="N97" s="17"/>
      <c r="O97" s="16"/>
      <c r="P97" s="16"/>
      <c r="Q97" s="152">
        <f>IF(F97&lt;=Exp24Q1,G97,0)+IF(H97&lt;=Exp24Q1,I97,0)+IF(J97&lt;=Exp24Q1,K97,0)+IF(L97&lt;=Exp24Q1,M97,0)+IF(N97&lt;=Exp24Q1,O97,0)</f>
        <v>0</v>
      </c>
      <c r="R97" s="152">
        <f>IF(F97&lt;=Exp24H1,G97,0)+IF(H97&lt;=Exp24H1,I97,0)+IF(J97&lt;=Exp24H1,K97,0)+IF(L97&lt;=Exp24H1,M97,0)+IF(N97&lt;=Exp24H1,O97,0)</f>
        <v>0.53</v>
      </c>
      <c r="S97" s="152">
        <f>IF(F97&lt;=Exp24Q3,G97,0)+IF(H97&lt;=Exp24Q3,I97,0)+IF(J97&lt;=Exp24Q3,K97,0)+IF(L97&lt;=Exp24Q3,M97,0)+IF(N97&lt;=Exp24Q3,O97,0)</f>
        <v>0.53</v>
      </c>
      <c r="T97" s="18">
        <f>G97+I97+K97+M97+O97</f>
        <v>0.53</v>
      </c>
    </row>
    <row r="98" spans="2:20" x14ac:dyDescent="0.25">
      <c r="B98" s="117" t="s">
        <v>747</v>
      </c>
      <c r="C98" s="136" t="s">
        <v>748</v>
      </c>
      <c r="D98" s="14" t="s">
        <v>237</v>
      </c>
      <c r="E98" s="14" t="s">
        <v>16</v>
      </c>
      <c r="F98" s="15">
        <v>45418</v>
      </c>
      <c r="G98" s="16">
        <v>0.19500000000000001</v>
      </c>
      <c r="H98" s="15"/>
      <c r="I98" s="16"/>
      <c r="J98" s="15"/>
      <c r="K98" s="16"/>
      <c r="L98" s="15"/>
      <c r="M98" s="63"/>
      <c r="N98" s="17"/>
      <c r="O98" s="16"/>
      <c r="P98" s="16"/>
      <c r="Q98" s="152">
        <f t="shared" si="6"/>
        <v>0</v>
      </c>
      <c r="R98" s="152">
        <f t="shared" si="4"/>
        <v>0.19500000000000001</v>
      </c>
      <c r="S98" s="152">
        <f t="shared" si="5"/>
        <v>0.19500000000000001</v>
      </c>
      <c r="T98" s="18">
        <f t="shared" si="7"/>
        <v>0.19500000000000001</v>
      </c>
    </row>
    <row r="99" spans="2:20" x14ac:dyDescent="0.25">
      <c r="B99" s="117" t="s">
        <v>787</v>
      </c>
      <c r="C99" s="136" t="s">
        <v>788</v>
      </c>
      <c r="D99" s="14" t="s">
        <v>237</v>
      </c>
      <c r="E99" s="14" t="s">
        <v>16</v>
      </c>
      <c r="F99" s="15">
        <v>45414</v>
      </c>
      <c r="G99" s="16">
        <v>0.20100000000000001</v>
      </c>
      <c r="H99" s="15"/>
      <c r="I99" s="16"/>
      <c r="J99" s="15"/>
      <c r="K99" s="16"/>
      <c r="L99" s="15"/>
      <c r="M99" s="63"/>
      <c r="N99" s="17"/>
      <c r="O99" s="16"/>
      <c r="P99" s="16"/>
      <c r="Q99" s="152">
        <f t="shared" si="6"/>
        <v>0</v>
      </c>
      <c r="R99" s="152">
        <f t="shared" si="4"/>
        <v>0.20100000000000001</v>
      </c>
      <c r="S99" s="152">
        <f t="shared" si="5"/>
        <v>0.20100000000000001</v>
      </c>
      <c r="T99" s="18">
        <f t="shared" si="7"/>
        <v>0.20100000000000001</v>
      </c>
    </row>
    <row r="100" spans="2:20" x14ac:dyDescent="0.25">
      <c r="B100" s="117" t="s">
        <v>198</v>
      </c>
      <c r="C100" s="136" t="s">
        <v>199</v>
      </c>
      <c r="D100" s="14" t="s">
        <v>15</v>
      </c>
      <c r="E100" s="14" t="s">
        <v>200</v>
      </c>
      <c r="F100" s="15"/>
      <c r="G100" s="16"/>
      <c r="H100" s="15"/>
      <c r="I100" s="16"/>
      <c r="J100" s="15"/>
      <c r="K100" s="16"/>
      <c r="L100" s="15"/>
      <c r="M100" s="63"/>
      <c r="N100" s="17"/>
      <c r="O100" s="16"/>
      <c r="P100" s="16"/>
      <c r="Q100" s="152">
        <f t="shared" si="6"/>
        <v>0</v>
      </c>
      <c r="R100" s="152">
        <f t="shared" si="4"/>
        <v>0</v>
      </c>
      <c r="S100" s="152">
        <f t="shared" si="5"/>
        <v>0</v>
      </c>
      <c r="T100" s="18">
        <f t="shared" si="7"/>
        <v>0</v>
      </c>
    </row>
    <row r="101" spans="2:20" x14ac:dyDescent="0.25">
      <c r="B101" s="117" t="s">
        <v>884</v>
      </c>
      <c r="C101" s="136" t="s">
        <v>202</v>
      </c>
      <c r="D101" s="14" t="s">
        <v>27</v>
      </c>
      <c r="E101" s="14" t="s">
        <v>16</v>
      </c>
      <c r="F101" s="15">
        <v>45442</v>
      </c>
      <c r="G101" s="16">
        <v>1.99</v>
      </c>
      <c r="H101" s="15"/>
      <c r="I101" s="16"/>
      <c r="J101" s="15"/>
      <c r="K101" s="16"/>
      <c r="L101" s="15"/>
      <c r="M101" s="63"/>
      <c r="N101" s="17"/>
      <c r="O101" s="16"/>
      <c r="P101" s="16"/>
      <c r="Q101" s="152">
        <f t="shared" si="6"/>
        <v>0</v>
      </c>
      <c r="R101" s="152">
        <f t="shared" si="4"/>
        <v>1.99</v>
      </c>
      <c r="S101" s="152">
        <f t="shared" si="5"/>
        <v>1.99</v>
      </c>
      <c r="T101" s="18">
        <f t="shared" si="7"/>
        <v>1.99</v>
      </c>
    </row>
    <row r="102" spans="2:20" x14ac:dyDescent="0.25">
      <c r="B102" s="117" t="s">
        <v>717</v>
      </c>
      <c r="C102" s="136" t="s">
        <v>718</v>
      </c>
      <c r="D102" s="14" t="s">
        <v>24</v>
      </c>
      <c r="E102" s="14" t="s">
        <v>16</v>
      </c>
      <c r="F102" s="15"/>
      <c r="G102" s="16"/>
      <c r="H102" s="15"/>
      <c r="I102" s="16"/>
      <c r="J102" s="15"/>
      <c r="K102" s="16"/>
      <c r="L102" s="15"/>
      <c r="M102" s="63"/>
      <c r="N102" s="17"/>
      <c r="O102" s="16"/>
      <c r="P102" s="16"/>
      <c r="Q102" s="152">
        <f t="shared" si="6"/>
        <v>0</v>
      </c>
      <c r="R102" s="152">
        <f t="shared" si="4"/>
        <v>0</v>
      </c>
      <c r="S102" s="152">
        <f t="shared" si="5"/>
        <v>0</v>
      </c>
      <c r="T102" s="18">
        <f t="shared" si="7"/>
        <v>0</v>
      </c>
    </row>
    <row r="103" spans="2:20" x14ac:dyDescent="0.25">
      <c r="B103" s="117" t="s">
        <v>203</v>
      </c>
      <c r="C103" s="136" t="s">
        <v>204</v>
      </c>
      <c r="D103" s="14" t="s">
        <v>15</v>
      </c>
      <c r="E103" s="14" t="s">
        <v>16</v>
      </c>
      <c r="F103" s="15">
        <v>45397</v>
      </c>
      <c r="G103" s="16">
        <v>1.1299999999999999</v>
      </c>
      <c r="H103" s="15">
        <v>45587</v>
      </c>
      <c r="I103" s="16">
        <v>1.1200000000000001</v>
      </c>
      <c r="J103" s="15"/>
      <c r="K103" s="16"/>
      <c r="L103" s="15"/>
      <c r="M103" s="63"/>
      <c r="N103" s="17"/>
      <c r="O103" s="16"/>
      <c r="P103" s="16"/>
      <c r="Q103" s="152">
        <f t="shared" si="6"/>
        <v>0</v>
      </c>
      <c r="R103" s="152">
        <f t="shared" si="4"/>
        <v>1.1299999999999999</v>
      </c>
      <c r="S103" s="152">
        <f t="shared" si="5"/>
        <v>1.1299999999999999</v>
      </c>
      <c r="T103" s="18">
        <f t="shared" si="7"/>
        <v>2.25</v>
      </c>
    </row>
    <row r="104" spans="2:20" x14ac:dyDescent="0.25">
      <c r="B104" s="117" t="s">
        <v>205</v>
      </c>
      <c r="C104" s="136" t="s">
        <v>206</v>
      </c>
      <c r="D104" s="14" t="s">
        <v>15</v>
      </c>
      <c r="E104" s="14" t="s">
        <v>16</v>
      </c>
      <c r="F104" s="15">
        <v>45280</v>
      </c>
      <c r="G104" s="16">
        <v>0.69599999999999995</v>
      </c>
      <c r="H104" s="15">
        <v>45475</v>
      </c>
      <c r="I104" s="16">
        <v>1.044</v>
      </c>
      <c r="J104" s="15">
        <v>45636</v>
      </c>
      <c r="K104" s="16">
        <v>0.4</v>
      </c>
      <c r="L104" s="15"/>
      <c r="M104" s="63"/>
      <c r="N104" s="17"/>
      <c r="O104" s="16"/>
      <c r="P104" s="16"/>
      <c r="Q104" s="152">
        <f t="shared" si="6"/>
        <v>0.69599999999999995</v>
      </c>
      <c r="R104" s="152">
        <f t="shared" si="4"/>
        <v>0.69599999999999995</v>
      </c>
      <c r="S104" s="152">
        <f t="shared" si="5"/>
        <v>1.74</v>
      </c>
      <c r="T104" s="18">
        <f t="shared" si="7"/>
        <v>2.14</v>
      </c>
    </row>
    <row r="105" spans="2:20" x14ac:dyDescent="0.25">
      <c r="B105" s="117" t="s">
        <v>207</v>
      </c>
      <c r="C105" s="136" t="s">
        <v>208</v>
      </c>
      <c r="D105" s="14" t="s">
        <v>15</v>
      </c>
      <c r="E105" s="14" t="s">
        <v>16</v>
      </c>
      <c r="F105" s="15">
        <v>45288</v>
      </c>
      <c r="G105" s="16">
        <v>0.5</v>
      </c>
      <c r="H105" s="15">
        <v>45470</v>
      </c>
      <c r="I105" s="16">
        <v>0.5</v>
      </c>
      <c r="J105" s="15"/>
      <c r="K105" s="16"/>
      <c r="L105" s="15"/>
      <c r="M105" s="63"/>
      <c r="N105" s="17"/>
      <c r="O105" s="16"/>
      <c r="P105" s="16"/>
      <c r="Q105" s="152">
        <f t="shared" si="6"/>
        <v>0.5</v>
      </c>
      <c r="R105" s="152">
        <f t="shared" si="4"/>
        <v>0.5</v>
      </c>
      <c r="S105" s="152">
        <f t="shared" si="5"/>
        <v>1</v>
      </c>
      <c r="T105" s="18">
        <f t="shared" si="7"/>
        <v>1</v>
      </c>
    </row>
    <row r="106" spans="2:20" x14ac:dyDescent="0.25">
      <c r="B106" s="117" t="s">
        <v>942</v>
      </c>
      <c r="C106" s="136" t="s">
        <v>943</v>
      </c>
      <c r="D106" s="14" t="s">
        <v>941</v>
      </c>
      <c r="E106" s="14" t="s">
        <v>16</v>
      </c>
      <c r="F106" s="15">
        <v>45313</v>
      </c>
      <c r="G106" s="16">
        <v>0.215</v>
      </c>
      <c r="H106" s="15">
        <v>45495</v>
      </c>
      <c r="I106" s="16">
        <v>0.215</v>
      </c>
      <c r="J106" s="15"/>
      <c r="K106" s="16"/>
      <c r="L106" s="15"/>
      <c r="M106" s="63"/>
      <c r="N106" s="17"/>
      <c r="O106" s="16"/>
      <c r="P106" s="16"/>
      <c r="Q106" s="152">
        <f t="shared" ref="Q106" si="8">IF(F106&lt;=Exp24Q1,G106,0)+IF(H106&lt;=Exp24Q1,I106,0)+IF(J106&lt;=Exp24Q1,K106,0)+IF(L106&lt;=Exp24Q1,M106,0)+IF(N106&lt;=Exp24Q1,O106,0)</f>
        <v>0.215</v>
      </c>
      <c r="R106" s="152">
        <f t="shared" ref="R106" si="9">IF(F106&lt;=Exp24H1,G106,0)+IF(H106&lt;=Exp24H1,I106,0)+IF(J106&lt;=Exp24H1,K106,0)+IF(L106&lt;=Exp24H1,M106,0)+IF(N106&lt;=Exp24H1,O106,0)</f>
        <v>0.215</v>
      </c>
      <c r="S106" s="152">
        <f t="shared" ref="S106" si="10">IF(F106&lt;=Exp24Q3,G106,0)+IF(H106&lt;=Exp24Q3,I106,0)+IF(J106&lt;=Exp24Q3,K106,0)+IF(L106&lt;=Exp24Q3,M106,0)+IF(N106&lt;=Exp24Q3,O106,0)</f>
        <v>0.43</v>
      </c>
      <c r="T106" s="18">
        <f t="shared" ref="T106" si="11">G106+I106+K106+M106+O106</f>
        <v>0.43</v>
      </c>
    </row>
    <row r="107" spans="2:20" x14ac:dyDescent="0.25">
      <c r="B107" s="117" t="s">
        <v>211</v>
      </c>
      <c r="C107" s="136" t="s">
        <v>212</v>
      </c>
      <c r="D107" s="14" t="s">
        <v>24</v>
      </c>
      <c r="E107" s="14" t="s">
        <v>16</v>
      </c>
      <c r="F107" s="15">
        <v>45414</v>
      </c>
      <c r="G107" s="16">
        <v>1.43</v>
      </c>
      <c r="H107" s="15"/>
      <c r="I107" s="16"/>
      <c r="J107" s="15"/>
      <c r="K107" s="16"/>
      <c r="L107" s="15"/>
      <c r="M107" s="63"/>
      <c r="N107" s="17"/>
      <c r="O107" s="16"/>
      <c r="P107" s="16"/>
      <c r="Q107" s="152">
        <f t="shared" si="6"/>
        <v>0</v>
      </c>
      <c r="R107" s="152">
        <f t="shared" si="4"/>
        <v>1.43</v>
      </c>
      <c r="S107" s="152">
        <f t="shared" si="5"/>
        <v>1.43</v>
      </c>
      <c r="T107" s="18">
        <f t="shared" si="7"/>
        <v>1.43</v>
      </c>
    </row>
    <row r="108" spans="2:20" x14ac:dyDescent="0.25">
      <c r="B108" s="117" t="s">
        <v>944</v>
      </c>
      <c r="C108" s="136" t="s">
        <v>945</v>
      </c>
      <c r="D108" s="14" t="s">
        <v>941</v>
      </c>
      <c r="E108" s="14" t="s">
        <v>16</v>
      </c>
      <c r="F108" s="15">
        <v>45369</v>
      </c>
      <c r="G108" s="16">
        <v>0.24</v>
      </c>
      <c r="H108" s="15">
        <v>45432</v>
      </c>
      <c r="I108" s="16">
        <v>0.23</v>
      </c>
      <c r="J108" s="15">
        <v>45558</v>
      </c>
      <c r="K108" s="16">
        <v>0.25</v>
      </c>
      <c r="L108" s="15">
        <v>45614</v>
      </c>
      <c r="M108" s="63">
        <v>0.25</v>
      </c>
      <c r="N108" s="17"/>
      <c r="O108" s="16"/>
      <c r="P108" s="16"/>
      <c r="Q108" s="152">
        <f t="shared" ref="Q108" si="12">IF(F108&lt;=Exp24Q1,G108,0)+IF(H108&lt;=Exp24Q1,I108,0)+IF(J108&lt;=Exp24Q1,K108,0)+IF(L108&lt;=Exp24Q1,M108,0)+IF(N108&lt;=Exp24Q1,O108,0)</f>
        <v>0</v>
      </c>
      <c r="R108" s="152">
        <f t="shared" ref="R108" si="13">IF(F108&lt;=Exp24H1,G108,0)+IF(H108&lt;=Exp24H1,I108,0)+IF(J108&lt;=Exp24H1,K108,0)+IF(L108&lt;=Exp24H1,M108,0)+IF(N108&lt;=Exp24H1,O108,0)</f>
        <v>0.47</v>
      </c>
      <c r="S108" s="152">
        <f t="shared" ref="S108" si="14">IF(F108&lt;=Exp24Q3,G108,0)+IF(H108&lt;=Exp24Q3,I108,0)+IF(J108&lt;=Exp24Q3,K108,0)+IF(L108&lt;=Exp24Q3,M108,0)+IF(N108&lt;=Exp24Q3,O108,0)</f>
        <v>0.47</v>
      </c>
      <c r="T108" s="18">
        <f t="shared" ref="T108" si="15">G108+I108+K108+M108+O108</f>
        <v>0.97</v>
      </c>
    </row>
    <row r="109" spans="2:20" x14ac:dyDescent="0.25">
      <c r="B109" s="117" t="s">
        <v>621</v>
      </c>
      <c r="C109" s="136" t="s">
        <v>450</v>
      </c>
      <c r="D109" s="14" t="s">
        <v>15</v>
      </c>
      <c r="E109" s="14" t="s">
        <v>56</v>
      </c>
      <c r="F109" s="147">
        <v>45336</v>
      </c>
      <c r="G109" s="148">
        <f xml:space="preserve"> 0.3*0.97658307*0.98759406*0.98727587*0.98552158</f>
        <v>0.28152280175789518</v>
      </c>
      <c r="H109" s="147">
        <v>45427</v>
      </c>
      <c r="I109" s="148">
        <f>0.35*0.98759406*0.98727587*0.98552158</f>
        <v>0.33631882305469862</v>
      </c>
      <c r="J109" s="147">
        <v>45520</v>
      </c>
      <c r="K109" s="148">
        <f>0.35*0.98727587*0.98552158</f>
        <v>0.34054358635439608</v>
      </c>
      <c r="L109" s="147">
        <v>45614</v>
      </c>
      <c r="M109" s="148">
        <f>0.35*0.98552158</f>
        <v>0.34493255299999998</v>
      </c>
      <c r="N109" s="17"/>
      <c r="O109" s="16"/>
      <c r="P109" s="16"/>
      <c r="Q109" s="152">
        <f t="shared" si="6"/>
        <v>0.28152280175789518</v>
      </c>
      <c r="R109" s="152">
        <f t="shared" si="4"/>
        <v>0.61784162481259375</v>
      </c>
      <c r="S109" s="152">
        <f t="shared" si="5"/>
        <v>0.95838521116698983</v>
      </c>
      <c r="T109" s="18">
        <f>G109+I109+K109+M109+O109</f>
        <v>1.3033177641669897</v>
      </c>
    </row>
    <row r="110" spans="2:20" x14ac:dyDescent="0.25">
      <c r="B110" s="117" t="s">
        <v>215</v>
      </c>
      <c r="C110" s="136" t="s">
        <v>216</v>
      </c>
      <c r="D110" s="14" t="s">
        <v>15</v>
      </c>
      <c r="E110" s="14" t="s">
        <v>200</v>
      </c>
      <c r="F110" s="15">
        <v>45386</v>
      </c>
      <c r="G110" s="16">
        <v>1.35</v>
      </c>
      <c r="H110" s="15">
        <v>45566</v>
      </c>
      <c r="I110" s="16">
        <v>1.35</v>
      </c>
      <c r="J110" s="15"/>
      <c r="K110" s="16"/>
      <c r="L110" s="15"/>
      <c r="M110" s="63"/>
      <c r="N110" s="17"/>
      <c r="O110" s="16"/>
      <c r="P110" s="16"/>
      <c r="Q110" s="152">
        <f t="shared" si="6"/>
        <v>0</v>
      </c>
      <c r="R110" s="152">
        <f t="shared" si="4"/>
        <v>1.35</v>
      </c>
      <c r="S110" s="152">
        <f t="shared" si="5"/>
        <v>1.35</v>
      </c>
      <c r="T110" s="18">
        <f t="shared" si="7"/>
        <v>2.7</v>
      </c>
    </row>
    <row r="111" spans="2:20" x14ac:dyDescent="0.25">
      <c r="B111" s="117" t="s">
        <v>816</v>
      </c>
      <c r="C111" s="136" t="s">
        <v>817</v>
      </c>
      <c r="D111" s="14" t="s">
        <v>15</v>
      </c>
      <c r="E111" s="14" t="s">
        <v>16</v>
      </c>
      <c r="F111" s="15">
        <v>45439</v>
      </c>
      <c r="G111" s="16">
        <v>2.7</v>
      </c>
      <c r="H111" s="15"/>
      <c r="I111" s="16"/>
      <c r="J111" s="15"/>
      <c r="K111" s="16"/>
      <c r="L111" s="15"/>
      <c r="M111" s="63"/>
      <c r="N111" s="17"/>
      <c r="O111" s="16"/>
      <c r="P111" s="16"/>
      <c r="Q111" s="152">
        <f t="shared" si="6"/>
        <v>0</v>
      </c>
      <c r="R111" s="152">
        <f t="shared" si="4"/>
        <v>2.7</v>
      </c>
      <c r="S111" s="152">
        <f t="shared" si="5"/>
        <v>2.7</v>
      </c>
      <c r="T111" s="18">
        <f t="shared" si="7"/>
        <v>2.7</v>
      </c>
    </row>
    <row r="112" spans="2:20" x14ac:dyDescent="0.25">
      <c r="B112" s="117" t="s">
        <v>632</v>
      </c>
      <c r="C112" s="136" t="s">
        <v>218</v>
      </c>
      <c r="D112" s="14" t="s">
        <v>24</v>
      </c>
      <c r="E112" s="14" t="s">
        <v>16</v>
      </c>
      <c r="F112" s="15">
        <v>45418</v>
      </c>
      <c r="G112" s="16">
        <v>3.95</v>
      </c>
      <c r="H112" s="15"/>
      <c r="I112" s="16"/>
      <c r="J112" s="15"/>
      <c r="K112" s="16"/>
      <c r="L112" s="15"/>
      <c r="M112" s="63"/>
      <c r="N112" s="17"/>
      <c r="O112" s="16"/>
      <c r="P112" s="16"/>
      <c r="Q112" s="152">
        <f t="shared" si="6"/>
        <v>0</v>
      </c>
      <c r="R112" s="152">
        <f t="shared" si="4"/>
        <v>3.95</v>
      </c>
      <c r="S112" s="152">
        <f t="shared" si="5"/>
        <v>3.95</v>
      </c>
      <c r="T112" s="18">
        <f t="shared" si="7"/>
        <v>3.95</v>
      </c>
    </row>
    <row r="113" spans="2:20" x14ac:dyDescent="0.25">
      <c r="B113" s="117" t="s">
        <v>852</v>
      </c>
      <c r="C113" s="136" t="s">
        <v>846</v>
      </c>
      <c r="D113" s="14" t="s">
        <v>15</v>
      </c>
      <c r="E113" s="14" t="s">
        <v>200</v>
      </c>
      <c r="F113" s="15">
        <v>45373</v>
      </c>
      <c r="G113" s="16">
        <v>7.75</v>
      </c>
      <c r="H113" s="15"/>
      <c r="I113" s="16"/>
      <c r="J113" s="15"/>
      <c r="K113" s="16"/>
      <c r="L113" s="15"/>
      <c r="M113" s="63"/>
      <c r="N113" s="17"/>
      <c r="O113" s="16"/>
      <c r="P113" s="16"/>
      <c r="Q113" s="152">
        <f t="shared" si="6"/>
        <v>0</v>
      </c>
      <c r="R113" s="152">
        <f t="shared" si="4"/>
        <v>7.75</v>
      </c>
      <c r="S113" s="152">
        <f t="shared" si="5"/>
        <v>7.75</v>
      </c>
      <c r="T113" s="18">
        <f t="shared" si="7"/>
        <v>7.75</v>
      </c>
    </row>
    <row r="114" spans="2:20" x14ac:dyDescent="0.25">
      <c r="B114" s="117" t="s">
        <v>808</v>
      </c>
      <c r="C114" s="136" t="s">
        <v>809</v>
      </c>
      <c r="D114" s="14" t="s">
        <v>714</v>
      </c>
      <c r="E114" s="14" t="s">
        <v>16</v>
      </c>
      <c r="F114" s="15">
        <v>45476</v>
      </c>
      <c r="G114" s="16">
        <v>0.5</v>
      </c>
      <c r="H114" s="15"/>
      <c r="I114" s="16"/>
      <c r="J114" s="15"/>
      <c r="K114" s="16"/>
      <c r="L114" s="15"/>
      <c r="M114" s="63"/>
      <c r="N114" s="17"/>
      <c r="O114" s="16"/>
      <c r="P114" s="16"/>
      <c r="Q114" s="152">
        <f t="shared" si="6"/>
        <v>0</v>
      </c>
      <c r="R114" s="152">
        <f t="shared" si="4"/>
        <v>0</v>
      </c>
      <c r="S114" s="152">
        <f t="shared" si="5"/>
        <v>0.5</v>
      </c>
      <c r="T114" s="18">
        <f t="shared" si="7"/>
        <v>0.5</v>
      </c>
    </row>
    <row r="115" spans="2:20" x14ac:dyDescent="0.25">
      <c r="B115" s="117" t="s">
        <v>873</v>
      </c>
      <c r="C115" s="136" t="s">
        <v>874</v>
      </c>
      <c r="D115" s="14" t="s">
        <v>15</v>
      </c>
      <c r="E115" s="14" t="s">
        <v>16</v>
      </c>
      <c r="F115" s="15">
        <v>45433</v>
      </c>
      <c r="G115" s="16">
        <v>2.48</v>
      </c>
      <c r="H115" s="15"/>
      <c r="I115" s="16"/>
      <c r="J115" s="15"/>
      <c r="K115" s="16"/>
      <c r="L115" s="15"/>
      <c r="M115" s="63"/>
      <c r="N115" s="17"/>
      <c r="O115" s="16"/>
      <c r="P115" s="16"/>
      <c r="Q115" s="152">
        <f t="shared" si="6"/>
        <v>0</v>
      </c>
      <c r="R115" s="152">
        <f t="shared" si="4"/>
        <v>2.48</v>
      </c>
      <c r="S115" s="152">
        <f t="shared" si="5"/>
        <v>2.48</v>
      </c>
      <c r="T115" s="18">
        <f t="shared" si="7"/>
        <v>2.48</v>
      </c>
    </row>
    <row r="116" spans="2:20" x14ac:dyDescent="0.25">
      <c r="B116" s="117" t="s">
        <v>219</v>
      </c>
      <c r="C116" s="136" t="s">
        <v>220</v>
      </c>
      <c r="D116" s="14" t="s">
        <v>24</v>
      </c>
      <c r="E116" s="14" t="s">
        <v>16</v>
      </c>
      <c r="F116" s="15"/>
      <c r="G116" s="16"/>
      <c r="H116" s="15"/>
      <c r="I116" s="16"/>
      <c r="J116" s="15"/>
      <c r="K116" s="16"/>
      <c r="L116" s="15"/>
      <c r="M116" s="63"/>
      <c r="N116" s="17"/>
      <c r="O116" s="16"/>
      <c r="P116" s="16"/>
      <c r="Q116" s="152">
        <f t="shared" si="6"/>
        <v>0</v>
      </c>
      <c r="R116" s="152">
        <f t="shared" si="4"/>
        <v>0</v>
      </c>
      <c r="S116" s="152">
        <f t="shared" si="5"/>
        <v>0</v>
      </c>
      <c r="T116" s="18">
        <f t="shared" si="7"/>
        <v>0</v>
      </c>
    </row>
    <row r="117" spans="2:20" x14ac:dyDescent="0.25">
      <c r="B117" s="117" t="s">
        <v>851</v>
      </c>
      <c r="C117" s="136" t="s">
        <v>847</v>
      </c>
      <c r="D117" s="14" t="s">
        <v>15</v>
      </c>
      <c r="E117" s="14" t="s">
        <v>16</v>
      </c>
      <c r="F117" s="15">
        <v>45411</v>
      </c>
      <c r="G117" s="16">
        <v>2.65</v>
      </c>
      <c r="H117" s="15"/>
      <c r="I117" s="16"/>
      <c r="J117" s="15"/>
      <c r="K117" s="16"/>
      <c r="L117" s="15"/>
      <c r="M117" s="63"/>
      <c r="N117" s="17"/>
      <c r="O117" s="16"/>
      <c r="P117" s="16"/>
      <c r="Q117" s="152">
        <f t="shared" si="6"/>
        <v>0</v>
      </c>
      <c r="R117" s="152">
        <f t="shared" si="4"/>
        <v>2.65</v>
      </c>
      <c r="S117" s="152">
        <f t="shared" si="5"/>
        <v>2.65</v>
      </c>
      <c r="T117" s="18">
        <f t="shared" si="7"/>
        <v>2.65</v>
      </c>
    </row>
    <row r="118" spans="2:20" x14ac:dyDescent="0.25">
      <c r="B118" s="117" t="s">
        <v>906</v>
      </c>
      <c r="C118" s="136" t="s">
        <v>907</v>
      </c>
      <c r="D118" s="14" t="s">
        <v>15</v>
      </c>
      <c r="E118" s="14" t="s">
        <v>16</v>
      </c>
      <c r="F118" s="15">
        <v>45442</v>
      </c>
      <c r="G118" s="16">
        <v>0.46</v>
      </c>
      <c r="H118" s="15"/>
      <c r="I118" s="16"/>
      <c r="J118" s="15"/>
      <c r="K118" s="16"/>
      <c r="L118" s="15"/>
      <c r="M118" s="63"/>
      <c r="N118" s="17"/>
      <c r="O118" s="16"/>
      <c r="P118" s="16"/>
      <c r="Q118" s="152">
        <f t="shared" si="6"/>
        <v>0</v>
      </c>
      <c r="R118" s="152">
        <f t="shared" si="4"/>
        <v>0.46</v>
      </c>
      <c r="S118" s="152">
        <f t="shared" si="5"/>
        <v>0.46</v>
      </c>
      <c r="T118" s="18">
        <f t="shared" si="7"/>
        <v>0.46</v>
      </c>
    </row>
    <row r="119" spans="2:20" x14ac:dyDescent="0.25">
      <c r="B119" s="117" t="s">
        <v>221</v>
      </c>
      <c r="C119" s="136" t="s">
        <v>222</v>
      </c>
      <c r="D119" s="14" t="s">
        <v>15</v>
      </c>
      <c r="E119" s="14" t="s">
        <v>56</v>
      </c>
      <c r="F119" s="15">
        <v>45295</v>
      </c>
      <c r="G119" s="16">
        <v>0.18</v>
      </c>
      <c r="H119" s="15">
        <v>45463</v>
      </c>
      <c r="I119" s="16">
        <v>0.40500000000000003</v>
      </c>
      <c r="J119" s="15"/>
      <c r="K119" s="16"/>
      <c r="L119" s="15"/>
      <c r="M119" s="63"/>
      <c r="N119" s="17"/>
      <c r="O119" s="16"/>
      <c r="P119" s="16"/>
      <c r="Q119" s="152">
        <f t="shared" si="6"/>
        <v>0.18</v>
      </c>
      <c r="R119" s="152">
        <f t="shared" si="4"/>
        <v>0.58499999999999996</v>
      </c>
      <c r="S119" s="152">
        <f t="shared" si="5"/>
        <v>0.58499999999999996</v>
      </c>
      <c r="T119" s="18">
        <f t="shared" si="7"/>
        <v>0.58499999999999996</v>
      </c>
    </row>
    <row r="120" spans="2:20" x14ac:dyDescent="0.25">
      <c r="B120" s="117" t="s">
        <v>719</v>
      </c>
      <c r="C120" s="136" t="s">
        <v>950</v>
      </c>
      <c r="D120" s="14" t="s">
        <v>941</v>
      </c>
      <c r="E120" s="14" t="s">
        <v>16</v>
      </c>
      <c r="F120" s="15">
        <v>45404</v>
      </c>
      <c r="G120" s="16">
        <v>2.4430000000000001</v>
      </c>
      <c r="H120" s="15"/>
      <c r="I120" s="16"/>
      <c r="J120" s="15"/>
      <c r="K120" s="16"/>
      <c r="L120" s="15"/>
      <c r="M120" s="63"/>
      <c r="N120" s="17"/>
      <c r="O120" s="16"/>
      <c r="P120" s="16"/>
      <c r="Q120" s="152">
        <f t="shared" ref="Q120" si="16">IF(F120&lt;=Exp24Q1,G120,0)+IF(H120&lt;=Exp24Q1,I120,0)+IF(J120&lt;=Exp24Q1,K120,0)+IF(L120&lt;=Exp24Q1,M120,0)+IF(N120&lt;=Exp24Q1,O120,0)</f>
        <v>0</v>
      </c>
      <c r="R120" s="152">
        <f t="shared" ref="R120" si="17">IF(F120&lt;=Exp24H1,G120,0)+IF(H120&lt;=Exp24H1,I120,0)+IF(J120&lt;=Exp24H1,K120,0)+IF(L120&lt;=Exp24H1,M120,0)+IF(N120&lt;=Exp24H1,O120,0)</f>
        <v>2.4430000000000001</v>
      </c>
      <c r="S120" s="152">
        <f t="shared" ref="S120" si="18">IF(F120&lt;=Exp24Q3,G120,0)+IF(H120&lt;=Exp24Q3,I120,0)+IF(J120&lt;=Exp24Q3,K120,0)+IF(L120&lt;=Exp24Q3,M120,0)+IF(N120&lt;=Exp24Q3,O120,0)</f>
        <v>2.4430000000000001</v>
      </c>
      <c r="T120" s="18">
        <f t="shared" ref="T120" si="19">G120+I120+K120+M120+O120</f>
        <v>2.4430000000000001</v>
      </c>
    </row>
    <row r="121" spans="2:20" x14ac:dyDescent="0.25">
      <c r="B121" s="117" t="s">
        <v>225</v>
      </c>
      <c r="C121" s="136" t="s">
        <v>226</v>
      </c>
      <c r="D121" s="14" t="s">
        <v>15</v>
      </c>
      <c r="E121" s="14" t="s">
        <v>16</v>
      </c>
      <c r="F121" s="15">
        <v>45432</v>
      </c>
      <c r="G121" s="16">
        <v>0.30330000000000001</v>
      </c>
      <c r="H121" s="15">
        <v>45602</v>
      </c>
      <c r="I121" s="16">
        <v>0.4597</v>
      </c>
      <c r="J121" s="15">
        <v>45639</v>
      </c>
      <c r="K121" s="16">
        <v>3.4599999999999999E-2</v>
      </c>
      <c r="L121" s="15"/>
      <c r="M121" s="63"/>
      <c r="N121" s="17"/>
      <c r="O121" s="16"/>
      <c r="P121" s="16"/>
      <c r="Q121" s="152">
        <f t="shared" si="6"/>
        <v>0</v>
      </c>
      <c r="R121" s="152">
        <f t="shared" si="4"/>
        <v>0.30330000000000001</v>
      </c>
      <c r="S121" s="152">
        <f t="shared" si="5"/>
        <v>0.30330000000000001</v>
      </c>
      <c r="T121" s="18">
        <f t="shared" si="7"/>
        <v>0.79759999999999998</v>
      </c>
    </row>
    <row r="122" spans="2:20" x14ac:dyDescent="0.25">
      <c r="B122" s="117" t="s">
        <v>810</v>
      </c>
      <c r="C122" s="136" t="s">
        <v>811</v>
      </c>
      <c r="D122" s="14" t="s">
        <v>15</v>
      </c>
      <c r="E122" s="14" t="s">
        <v>16</v>
      </c>
      <c r="F122" s="15">
        <v>45460</v>
      </c>
      <c r="G122" s="16">
        <v>0.15</v>
      </c>
      <c r="H122" s="15"/>
      <c r="I122" s="16"/>
      <c r="J122" s="15"/>
      <c r="K122" s="16"/>
      <c r="L122" s="15"/>
      <c r="M122" s="63"/>
      <c r="N122" s="17"/>
      <c r="O122" s="16"/>
      <c r="P122" s="16"/>
      <c r="Q122" s="152">
        <f t="shared" si="6"/>
        <v>0</v>
      </c>
      <c r="R122" s="152">
        <f t="shared" si="4"/>
        <v>0.15</v>
      </c>
      <c r="S122" s="152">
        <f t="shared" si="5"/>
        <v>0.15</v>
      </c>
      <c r="T122" s="18">
        <f t="shared" si="7"/>
        <v>0.15</v>
      </c>
    </row>
    <row r="123" spans="2:20" x14ac:dyDescent="0.25">
      <c r="B123" s="117" t="s">
        <v>229</v>
      </c>
      <c r="C123" s="136" t="s">
        <v>230</v>
      </c>
      <c r="D123" s="14" t="s">
        <v>15</v>
      </c>
      <c r="E123" s="14" t="s">
        <v>16</v>
      </c>
      <c r="F123" s="15">
        <v>45377</v>
      </c>
      <c r="G123" s="16">
        <v>0.57999999999999996</v>
      </c>
      <c r="H123" s="15">
        <v>45566</v>
      </c>
      <c r="I123" s="16">
        <v>0.56999999999999995</v>
      </c>
      <c r="J123" s="15"/>
      <c r="K123" s="16"/>
      <c r="L123" s="15"/>
      <c r="M123" s="63"/>
      <c r="N123" s="17"/>
      <c r="O123" s="16"/>
      <c r="P123" s="16"/>
      <c r="Q123" s="152">
        <f t="shared" si="6"/>
        <v>0</v>
      </c>
      <c r="R123" s="152">
        <f t="shared" si="4"/>
        <v>0.57999999999999996</v>
      </c>
      <c r="S123" s="152">
        <f t="shared" si="5"/>
        <v>0.57999999999999996</v>
      </c>
      <c r="T123" s="18">
        <f t="shared" si="7"/>
        <v>1.1499999999999999</v>
      </c>
    </row>
    <row r="124" spans="2:20" x14ac:dyDescent="0.25">
      <c r="B124" s="117" t="s">
        <v>231</v>
      </c>
      <c r="C124" s="136" t="s">
        <v>232</v>
      </c>
      <c r="D124" s="14" t="s">
        <v>15</v>
      </c>
      <c r="E124" s="14" t="s">
        <v>16</v>
      </c>
      <c r="F124" s="15"/>
      <c r="G124" s="16"/>
      <c r="H124" s="15"/>
      <c r="I124" s="16"/>
      <c r="J124" s="15"/>
      <c r="K124" s="16"/>
      <c r="L124" s="15"/>
      <c r="M124" s="63"/>
      <c r="N124" s="17"/>
      <c r="O124" s="16"/>
      <c r="P124" s="47"/>
      <c r="Q124" s="152">
        <f t="shared" si="6"/>
        <v>0</v>
      </c>
      <c r="R124" s="152">
        <f t="shared" si="4"/>
        <v>0</v>
      </c>
      <c r="S124" s="152">
        <f t="shared" si="5"/>
        <v>0</v>
      </c>
      <c r="T124" s="18">
        <f t="shared" si="7"/>
        <v>0</v>
      </c>
    </row>
    <row r="125" spans="2:20" x14ac:dyDescent="0.25">
      <c r="B125" s="117" t="s">
        <v>867</v>
      </c>
      <c r="C125" s="136" t="s">
        <v>868</v>
      </c>
      <c r="D125" s="14" t="s">
        <v>15</v>
      </c>
      <c r="E125" s="14" t="s">
        <v>16</v>
      </c>
      <c r="F125" s="15">
        <v>45429</v>
      </c>
      <c r="G125" s="16">
        <v>1.19</v>
      </c>
      <c r="H125" s="15"/>
      <c r="I125" s="16"/>
      <c r="J125" s="15"/>
      <c r="K125" s="16"/>
      <c r="L125" s="15"/>
      <c r="M125" s="63"/>
      <c r="N125" s="17"/>
      <c r="O125" s="16"/>
      <c r="P125" s="47"/>
      <c r="Q125" s="152">
        <f t="shared" si="6"/>
        <v>0</v>
      </c>
      <c r="R125" s="152">
        <f t="shared" si="4"/>
        <v>1.19</v>
      </c>
      <c r="S125" s="152">
        <f t="shared" si="5"/>
        <v>1.19</v>
      </c>
      <c r="T125" s="18">
        <f t="shared" si="7"/>
        <v>1.19</v>
      </c>
    </row>
    <row r="126" spans="2:20" x14ac:dyDescent="0.25">
      <c r="B126" s="117" t="s">
        <v>796</v>
      </c>
      <c r="C126" s="136" t="s">
        <v>797</v>
      </c>
      <c r="D126" s="14" t="s">
        <v>15</v>
      </c>
      <c r="E126" s="14" t="s">
        <v>56</v>
      </c>
      <c r="F126" s="15">
        <v>45365</v>
      </c>
      <c r="G126" s="16">
        <v>0.37</v>
      </c>
      <c r="H126" s="15">
        <v>45457</v>
      </c>
      <c r="I126" s="16">
        <v>0.62</v>
      </c>
      <c r="J126" s="15">
        <v>45548</v>
      </c>
      <c r="K126" s="16">
        <v>0.62</v>
      </c>
      <c r="L126" s="15">
        <v>45637</v>
      </c>
      <c r="M126" s="63">
        <v>0.34</v>
      </c>
      <c r="N126" s="17"/>
      <c r="O126" s="16"/>
      <c r="P126" s="47"/>
      <c r="Q126" s="152">
        <f t="shared" si="6"/>
        <v>0.37</v>
      </c>
      <c r="R126" s="152">
        <f t="shared" si="4"/>
        <v>0.99</v>
      </c>
      <c r="S126" s="152">
        <f t="shared" si="5"/>
        <v>1.6099999999999999</v>
      </c>
      <c r="T126" s="18">
        <f t="shared" si="7"/>
        <v>1.95</v>
      </c>
    </row>
    <row r="127" spans="2:20" x14ac:dyDescent="0.25">
      <c r="B127" s="117" t="s">
        <v>233</v>
      </c>
      <c r="C127" s="136" t="s">
        <v>234</v>
      </c>
      <c r="D127" s="14" t="s">
        <v>15</v>
      </c>
      <c r="E127" s="14" t="s">
        <v>16</v>
      </c>
      <c r="F127" s="15">
        <v>45411</v>
      </c>
      <c r="G127" s="16">
        <v>0.4</v>
      </c>
      <c r="H127" s="15"/>
      <c r="I127" s="16"/>
      <c r="J127" s="15"/>
      <c r="K127" s="16"/>
      <c r="L127" s="15"/>
      <c r="M127" s="63"/>
      <c r="N127" s="17"/>
      <c r="O127" s="16"/>
      <c r="P127" s="47"/>
      <c r="Q127" s="152">
        <f t="shared" si="6"/>
        <v>0</v>
      </c>
      <c r="R127" s="152">
        <f t="shared" si="4"/>
        <v>0.4</v>
      </c>
      <c r="S127" s="152">
        <f t="shared" si="5"/>
        <v>0.4</v>
      </c>
      <c r="T127" s="18">
        <f t="shared" si="7"/>
        <v>0.4</v>
      </c>
    </row>
    <row r="128" spans="2:20" x14ac:dyDescent="0.25">
      <c r="B128" s="117" t="s">
        <v>235</v>
      </c>
      <c r="C128" s="136" t="s">
        <v>236</v>
      </c>
      <c r="D128" s="14" t="s">
        <v>237</v>
      </c>
      <c r="E128" s="14" t="s">
        <v>16</v>
      </c>
      <c r="F128" s="15">
        <v>45441</v>
      </c>
      <c r="G128" s="16">
        <v>0.27</v>
      </c>
      <c r="H128" s="15">
        <v>45519</v>
      </c>
      <c r="I128" s="16">
        <v>0.28000000000000003</v>
      </c>
      <c r="J128" s="15"/>
      <c r="K128" s="16"/>
      <c r="L128" s="15"/>
      <c r="M128" s="63"/>
      <c r="N128" s="17"/>
      <c r="O128" s="16"/>
      <c r="P128" s="16"/>
      <c r="Q128" s="152">
        <f t="shared" si="6"/>
        <v>0</v>
      </c>
      <c r="R128" s="152">
        <f t="shared" si="4"/>
        <v>0.27</v>
      </c>
      <c r="S128" s="152">
        <f t="shared" si="5"/>
        <v>0.55000000000000004</v>
      </c>
      <c r="T128" s="18">
        <f t="shared" si="7"/>
        <v>0.55000000000000004</v>
      </c>
    </row>
    <row r="129" spans="2:20" x14ac:dyDescent="0.25">
      <c r="B129" s="117" t="s">
        <v>242</v>
      </c>
      <c r="C129" s="136" t="s">
        <v>243</v>
      </c>
      <c r="D129" s="14" t="s">
        <v>15</v>
      </c>
      <c r="E129" s="14" t="s">
        <v>21</v>
      </c>
      <c r="F129" s="15">
        <v>45401</v>
      </c>
      <c r="G129" s="16">
        <v>12.7</v>
      </c>
      <c r="H129" s="15"/>
      <c r="I129" s="16"/>
      <c r="J129" s="15"/>
      <c r="K129" s="16"/>
      <c r="L129" s="15"/>
      <c r="M129" s="63"/>
      <c r="N129" s="17"/>
      <c r="O129" s="16"/>
      <c r="P129" s="16"/>
      <c r="Q129" s="152">
        <f t="shared" si="6"/>
        <v>0</v>
      </c>
      <c r="R129" s="152">
        <f t="shared" si="4"/>
        <v>12.7</v>
      </c>
      <c r="S129" s="152">
        <f t="shared" si="5"/>
        <v>12.7</v>
      </c>
      <c r="T129" s="18">
        <f t="shared" si="7"/>
        <v>12.7</v>
      </c>
    </row>
    <row r="130" spans="2:20" x14ac:dyDescent="0.25">
      <c r="B130" s="117" t="s">
        <v>946</v>
      </c>
      <c r="C130" s="136" t="s">
        <v>947</v>
      </c>
      <c r="D130" s="14" t="s">
        <v>941</v>
      </c>
      <c r="E130" s="14" t="s">
        <v>16</v>
      </c>
      <c r="F130" s="15">
        <v>45432</v>
      </c>
      <c r="G130" s="16">
        <v>1.28</v>
      </c>
      <c r="H130" s="15"/>
      <c r="I130" s="16"/>
      <c r="J130" s="15"/>
      <c r="K130" s="16"/>
      <c r="L130" s="15"/>
      <c r="M130" s="63"/>
      <c r="N130" s="17"/>
      <c r="O130" s="16"/>
      <c r="P130" s="16"/>
      <c r="Q130" s="152">
        <f t="shared" ref="Q130" si="20">IF(F130&lt;=Exp24Q1,G130,0)+IF(H130&lt;=Exp24Q1,I130,0)+IF(J130&lt;=Exp24Q1,K130,0)+IF(L130&lt;=Exp24Q1,M130,0)+IF(N130&lt;=Exp24Q1,O130,0)</f>
        <v>0</v>
      </c>
      <c r="R130" s="152">
        <f t="shared" ref="R130" si="21">IF(F130&lt;=Exp24H1,G130,0)+IF(H130&lt;=Exp24H1,I130,0)+IF(J130&lt;=Exp24H1,K130,0)+IF(L130&lt;=Exp24H1,M130,0)+IF(N130&lt;=Exp24H1,O130,0)</f>
        <v>1.28</v>
      </c>
      <c r="S130" s="152">
        <f t="shared" ref="S130" si="22">IF(F130&lt;=Exp24Q3,G130,0)+IF(H130&lt;=Exp24Q3,I130,0)+IF(J130&lt;=Exp24Q3,K130,0)+IF(L130&lt;=Exp24Q3,M130,0)+IF(N130&lt;=Exp24Q3,O130,0)</f>
        <v>1.28</v>
      </c>
      <c r="T130" s="18">
        <f t="shared" ref="T130" si="23">G130+I130+K130+M130+O130</f>
        <v>1.28</v>
      </c>
    </row>
    <row r="131" spans="2:20" x14ac:dyDescent="0.25">
      <c r="B131" s="117" t="s">
        <v>825</v>
      </c>
      <c r="C131" s="136" t="s">
        <v>824</v>
      </c>
      <c r="D131" s="14" t="s">
        <v>15</v>
      </c>
      <c r="E131" s="14" t="s">
        <v>200</v>
      </c>
      <c r="F131" s="15">
        <v>45405</v>
      </c>
      <c r="G131" s="16">
        <v>4.4000000000000004</v>
      </c>
      <c r="H131" s="15"/>
      <c r="I131" s="16"/>
      <c r="J131" s="15"/>
      <c r="K131" s="16"/>
      <c r="L131" s="15"/>
      <c r="M131" s="63"/>
      <c r="N131" s="17"/>
      <c r="O131" s="16"/>
      <c r="P131" s="16"/>
      <c r="Q131" s="152">
        <f t="shared" si="6"/>
        <v>0</v>
      </c>
      <c r="R131" s="152">
        <f t="shared" si="4"/>
        <v>4.4000000000000004</v>
      </c>
      <c r="S131" s="152">
        <f t="shared" si="5"/>
        <v>4.4000000000000004</v>
      </c>
      <c r="T131" s="18">
        <f t="shared" si="7"/>
        <v>4.4000000000000004</v>
      </c>
    </row>
    <row r="132" spans="2:20" x14ac:dyDescent="0.25">
      <c r="B132" s="117" t="s">
        <v>248</v>
      </c>
      <c r="C132" s="136" t="s">
        <v>249</v>
      </c>
      <c r="D132" s="14" t="s">
        <v>15</v>
      </c>
      <c r="E132" s="14" t="s">
        <v>21</v>
      </c>
      <c r="F132" s="15">
        <v>45376</v>
      </c>
      <c r="G132" s="16">
        <v>68</v>
      </c>
      <c r="H132" s="15"/>
      <c r="I132" s="16"/>
      <c r="J132" s="15"/>
      <c r="K132" s="16"/>
      <c r="L132" s="15"/>
      <c r="M132" s="63"/>
      <c r="N132" s="17"/>
      <c r="O132" s="16"/>
      <c r="P132" s="16"/>
      <c r="Q132" s="152">
        <f t="shared" si="6"/>
        <v>0</v>
      </c>
      <c r="R132" s="152">
        <f t="shared" si="4"/>
        <v>68</v>
      </c>
      <c r="S132" s="152">
        <f t="shared" si="5"/>
        <v>68</v>
      </c>
      <c r="T132" s="18">
        <f t="shared" si="7"/>
        <v>68</v>
      </c>
    </row>
    <row r="133" spans="2:20" x14ac:dyDescent="0.25">
      <c r="B133" s="117" t="s">
        <v>915</v>
      </c>
      <c r="C133" s="136" t="s">
        <v>916</v>
      </c>
      <c r="D133" s="14" t="s">
        <v>755</v>
      </c>
      <c r="E133" s="14" t="s">
        <v>475</v>
      </c>
      <c r="F133" s="15">
        <v>45372</v>
      </c>
      <c r="G133" s="16">
        <v>8.75</v>
      </c>
      <c r="H133" s="15"/>
      <c r="I133" s="16"/>
      <c r="J133" s="15"/>
      <c r="K133" s="16"/>
      <c r="L133" s="15"/>
      <c r="M133" s="63"/>
      <c r="N133" s="17"/>
      <c r="O133" s="16"/>
      <c r="P133" s="16"/>
      <c r="Q133" s="152">
        <f t="shared" si="6"/>
        <v>0</v>
      </c>
      <c r="R133" s="152">
        <f t="shared" si="4"/>
        <v>8.75</v>
      </c>
      <c r="S133" s="152">
        <f t="shared" si="5"/>
        <v>8.75</v>
      </c>
      <c r="T133" s="18">
        <f t="shared" si="7"/>
        <v>8.75</v>
      </c>
    </row>
    <row r="134" spans="2:20" x14ac:dyDescent="0.25">
      <c r="B134" s="117" t="s">
        <v>252</v>
      </c>
      <c r="C134" s="136" t="s">
        <v>253</v>
      </c>
      <c r="D134" s="14" t="s">
        <v>15</v>
      </c>
      <c r="E134" s="14" t="s">
        <v>56</v>
      </c>
      <c r="F134" s="15">
        <v>45414</v>
      </c>
      <c r="G134" s="16">
        <v>6.5000000000000002E-2</v>
      </c>
      <c r="H134" s="15">
        <v>45533</v>
      </c>
      <c r="I134" s="16">
        <v>6.5000000000000002E-2</v>
      </c>
      <c r="J134" s="15"/>
      <c r="K134" s="16"/>
      <c r="L134" s="15"/>
      <c r="M134" s="63"/>
      <c r="N134" s="17"/>
      <c r="O134" s="16"/>
      <c r="P134" s="16"/>
      <c r="Q134" s="152">
        <f t="shared" si="6"/>
        <v>0</v>
      </c>
      <c r="R134" s="152">
        <f t="shared" si="4"/>
        <v>6.5000000000000002E-2</v>
      </c>
      <c r="S134" s="152">
        <f t="shared" si="5"/>
        <v>0.13</v>
      </c>
      <c r="T134" s="18">
        <f t="shared" si="7"/>
        <v>0.13</v>
      </c>
    </row>
    <row r="135" spans="2:20" x14ac:dyDescent="0.25">
      <c r="B135" s="117" t="s">
        <v>254</v>
      </c>
      <c r="C135" s="136" t="s">
        <v>255</v>
      </c>
      <c r="D135" s="14" t="s">
        <v>27</v>
      </c>
      <c r="E135" s="14" t="s">
        <v>16</v>
      </c>
      <c r="F135" s="15">
        <v>45421</v>
      </c>
      <c r="G135" s="16">
        <v>2.75</v>
      </c>
      <c r="H135" s="15"/>
      <c r="I135" s="16"/>
      <c r="J135" s="15"/>
      <c r="K135" s="16"/>
      <c r="L135" s="15"/>
      <c r="M135" s="63"/>
      <c r="N135" s="17"/>
      <c r="O135" s="16"/>
      <c r="P135" s="16"/>
      <c r="Q135" s="152">
        <f t="shared" si="6"/>
        <v>0</v>
      </c>
      <c r="R135" s="152">
        <f t="shared" si="4"/>
        <v>2.75</v>
      </c>
      <c r="S135" s="152">
        <f t="shared" si="5"/>
        <v>2.75</v>
      </c>
      <c r="T135" s="18">
        <f t="shared" si="7"/>
        <v>2.75</v>
      </c>
    </row>
    <row r="136" spans="2:20" x14ac:dyDescent="0.25">
      <c r="B136" s="117" t="s">
        <v>883</v>
      </c>
      <c r="C136" s="136" t="s">
        <v>251</v>
      </c>
      <c r="D136" s="14" t="s">
        <v>15</v>
      </c>
      <c r="E136" s="14" t="s">
        <v>761</v>
      </c>
      <c r="F136" s="15">
        <v>45344</v>
      </c>
      <c r="G136" s="16">
        <v>16</v>
      </c>
      <c r="H136" s="15">
        <v>45428</v>
      </c>
      <c r="I136" s="16">
        <v>15</v>
      </c>
      <c r="J136" s="15">
        <v>45519</v>
      </c>
      <c r="K136" s="16">
        <v>15</v>
      </c>
      <c r="L136" s="15">
        <v>45610</v>
      </c>
      <c r="M136" s="63">
        <v>15</v>
      </c>
      <c r="N136" s="17"/>
      <c r="O136" s="16"/>
      <c r="P136" s="16"/>
      <c r="Q136" s="152">
        <f>IF(F136&lt;=Exp24Q1,G136,0)+IF(H136&lt;=Exp24Q1,I136,0)+IF(J136&lt;=Exp24Q1,K136,0)+IF(L136&lt;=Exp24Q1,M136,0)+IF(N136&lt;=Exp24Q1,O136,0)</f>
        <v>16</v>
      </c>
      <c r="R136" s="152">
        <f>IF(F136&lt;=Exp24H1,G136,0)+IF(H136&lt;=Exp24H1,I136,0)+IF(J136&lt;=Exp24H1,K136,0)+IF(L136&lt;=Exp24H1,M136,0)+IF(N136&lt;=Exp24H1,O136,0)</f>
        <v>31</v>
      </c>
      <c r="S136" s="152">
        <f>IF(F136&lt;=Exp24Q3,G136,0)+IF(H136&lt;=Exp24Q3,I136,0)+IF(J136&lt;=Exp24Q3,K136,0)+IF(L136&lt;=Exp24Q3,M136,0)+IF(N136&lt;=Exp24Q3,O136,0)</f>
        <v>46</v>
      </c>
      <c r="T136" s="18">
        <f>G136+I136+K136+M136+O136</f>
        <v>61</v>
      </c>
    </row>
    <row r="137" spans="2:20" x14ac:dyDescent="0.25">
      <c r="B137" s="117" t="s">
        <v>935</v>
      </c>
      <c r="C137" s="136" t="s">
        <v>870</v>
      </c>
      <c r="D137" s="39" t="s">
        <v>15</v>
      </c>
      <c r="E137" s="39" t="s">
        <v>16</v>
      </c>
      <c r="F137" s="15">
        <v>45429</v>
      </c>
      <c r="G137" s="16">
        <v>3</v>
      </c>
      <c r="H137" s="15"/>
      <c r="I137" s="16"/>
      <c r="J137" s="15"/>
      <c r="K137" s="16"/>
      <c r="L137" s="15"/>
      <c r="M137" s="63"/>
      <c r="N137" s="17"/>
      <c r="O137" s="16"/>
      <c r="P137" s="16"/>
      <c r="Q137" s="152">
        <f t="shared" si="6"/>
        <v>0</v>
      </c>
      <c r="R137" s="152">
        <f t="shared" si="4"/>
        <v>3</v>
      </c>
      <c r="S137" s="152">
        <f t="shared" si="5"/>
        <v>3</v>
      </c>
      <c r="T137" s="18">
        <f t="shared" si="7"/>
        <v>3</v>
      </c>
    </row>
    <row r="138" spans="2:20" x14ac:dyDescent="0.25">
      <c r="B138" s="117" t="s">
        <v>256</v>
      </c>
      <c r="C138" s="136" t="s">
        <v>257</v>
      </c>
      <c r="D138" s="39" t="s">
        <v>15</v>
      </c>
      <c r="E138" s="39" t="s">
        <v>16</v>
      </c>
      <c r="F138" s="15">
        <v>45411</v>
      </c>
      <c r="G138" s="16">
        <v>1.04</v>
      </c>
      <c r="H138" s="15">
        <v>45504</v>
      </c>
      <c r="I138" s="16">
        <v>0.69</v>
      </c>
      <c r="J138" s="15"/>
      <c r="K138" s="16"/>
      <c r="L138" s="15"/>
      <c r="M138" s="63"/>
      <c r="N138" s="17"/>
      <c r="O138" s="16"/>
      <c r="P138" s="16"/>
      <c r="Q138" s="152">
        <f t="shared" si="6"/>
        <v>0</v>
      </c>
      <c r="R138" s="152">
        <f t="shared" si="4"/>
        <v>1.04</v>
      </c>
      <c r="S138" s="152">
        <f t="shared" si="5"/>
        <v>1.73</v>
      </c>
      <c r="T138" s="18">
        <f t="shared" si="7"/>
        <v>1.73</v>
      </c>
    </row>
    <row r="139" spans="2:20" x14ac:dyDescent="0.25">
      <c r="B139" s="117" t="s">
        <v>258</v>
      </c>
      <c r="C139" s="136" t="s">
        <v>259</v>
      </c>
      <c r="D139" s="14" t="s">
        <v>15</v>
      </c>
      <c r="E139" s="14" t="s">
        <v>16</v>
      </c>
      <c r="F139" s="15">
        <v>45405</v>
      </c>
      <c r="G139" s="16">
        <v>1.85</v>
      </c>
      <c r="H139" s="15"/>
      <c r="I139" s="16"/>
      <c r="J139" s="15"/>
      <c r="K139" s="16"/>
      <c r="L139" s="15"/>
      <c r="M139" s="63"/>
      <c r="N139" s="17"/>
      <c r="O139" s="16"/>
      <c r="P139" s="16"/>
      <c r="Q139" s="152">
        <f t="shared" si="6"/>
        <v>0</v>
      </c>
      <c r="R139" s="152">
        <f t="shared" si="4"/>
        <v>1.85</v>
      </c>
      <c r="S139" s="152">
        <f t="shared" si="5"/>
        <v>1.85</v>
      </c>
      <c r="T139" s="18">
        <f t="shared" si="7"/>
        <v>1.85</v>
      </c>
    </row>
    <row r="140" spans="2:20" x14ac:dyDescent="0.25">
      <c r="B140" s="117" t="s">
        <v>260</v>
      </c>
      <c r="C140" s="136" t="s">
        <v>261</v>
      </c>
      <c r="D140" s="14" t="s">
        <v>15</v>
      </c>
      <c r="E140" s="14" t="s">
        <v>200</v>
      </c>
      <c r="F140" s="15">
        <v>45418</v>
      </c>
      <c r="G140" s="16">
        <v>3.25</v>
      </c>
      <c r="H140" s="15">
        <v>45603</v>
      </c>
      <c r="I140" s="16">
        <v>3.25</v>
      </c>
      <c r="J140" s="15"/>
      <c r="K140" s="16"/>
      <c r="L140" s="15"/>
      <c r="M140" s="63"/>
      <c r="N140" s="17"/>
      <c r="O140" s="16"/>
      <c r="P140" s="16"/>
      <c r="Q140" s="152">
        <f t="shared" si="6"/>
        <v>0</v>
      </c>
      <c r="R140" s="152">
        <f t="shared" si="4"/>
        <v>3.25</v>
      </c>
      <c r="S140" s="152">
        <f t="shared" si="5"/>
        <v>3.25</v>
      </c>
      <c r="T140" s="18">
        <f t="shared" si="7"/>
        <v>6.5</v>
      </c>
    </row>
    <row r="141" spans="2:20" x14ac:dyDescent="0.25">
      <c r="B141" s="117" t="s">
        <v>626</v>
      </c>
      <c r="C141" s="136" t="s">
        <v>627</v>
      </c>
      <c r="D141" s="14" t="s">
        <v>24</v>
      </c>
      <c r="E141" s="14" t="s">
        <v>16</v>
      </c>
      <c r="F141" s="147">
        <v>45335</v>
      </c>
      <c r="G141" s="148">
        <f>3.5*0.99553472</f>
        <v>3.4843715199999998</v>
      </c>
      <c r="H141" s="147">
        <v>45414</v>
      </c>
      <c r="I141" s="148">
        <f>11.5*0.99553472</f>
        <v>11.44864928</v>
      </c>
      <c r="J141" s="15"/>
      <c r="K141" s="16"/>
      <c r="L141" s="15"/>
      <c r="M141" s="63"/>
      <c r="N141" s="17"/>
      <c r="O141" s="16"/>
      <c r="P141" s="16"/>
      <c r="Q141" s="152">
        <f t="shared" si="6"/>
        <v>3.4843715199999998</v>
      </c>
      <c r="R141" s="152">
        <f t="shared" si="4"/>
        <v>14.9330208</v>
      </c>
      <c r="S141" s="152">
        <f t="shared" si="5"/>
        <v>14.9330208</v>
      </c>
      <c r="T141" s="18">
        <f t="shared" si="7"/>
        <v>14.9330208</v>
      </c>
    </row>
    <row r="142" spans="2:20" x14ac:dyDescent="0.25">
      <c r="B142" s="117" t="s">
        <v>834</v>
      </c>
      <c r="C142" s="136" t="s">
        <v>835</v>
      </c>
      <c r="D142" s="45" t="s">
        <v>15</v>
      </c>
      <c r="E142" s="45" t="s">
        <v>16</v>
      </c>
      <c r="F142" s="15">
        <v>45412</v>
      </c>
      <c r="G142" s="16">
        <v>0.13</v>
      </c>
      <c r="H142" s="15"/>
      <c r="I142" s="16"/>
      <c r="J142" s="15"/>
      <c r="K142" s="16"/>
      <c r="L142" s="15"/>
      <c r="M142" s="63"/>
      <c r="N142" s="17"/>
      <c r="O142" s="16"/>
      <c r="P142" s="16"/>
      <c r="Q142" s="152">
        <f t="shared" si="6"/>
        <v>0</v>
      </c>
      <c r="R142" s="152">
        <f t="shared" ref="R142:R206" si="24">IF(F142&lt;=Exp24H1,G142,0)+IF(H142&lt;=Exp24H1,I142,0)+IF(J142&lt;=Exp24H1,K142,0)+IF(L142&lt;=Exp24H1,M142,0)+IF(N142&lt;=Exp24H1,O142,0)</f>
        <v>0.13</v>
      </c>
      <c r="S142" s="152">
        <f t="shared" ref="S142:S206" si="25">IF(F142&lt;=Exp24Q3,G142,0)+IF(H142&lt;=Exp24Q3,I142,0)+IF(J142&lt;=Exp24Q3,K142,0)+IF(L142&lt;=Exp24Q3,M142,0)+IF(N142&lt;=Exp24Q3,O142,0)</f>
        <v>0.13</v>
      </c>
      <c r="T142" s="18">
        <f t="shared" si="7"/>
        <v>0.13</v>
      </c>
    </row>
    <row r="143" spans="2:20" x14ac:dyDescent="0.25">
      <c r="B143" s="117" t="s">
        <v>768</v>
      </c>
      <c r="C143" s="136" t="s">
        <v>299</v>
      </c>
      <c r="D143" s="14" t="s">
        <v>15</v>
      </c>
      <c r="E143" s="14" t="s">
        <v>21</v>
      </c>
      <c r="F143" s="15">
        <v>45425</v>
      </c>
      <c r="G143" s="16">
        <v>2.8</v>
      </c>
      <c r="H143" s="15"/>
      <c r="I143" s="16"/>
      <c r="J143" s="15"/>
      <c r="K143" s="16"/>
      <c r="L143" s="15"/>
      <c r="M143" s="63"/>
      <c r="N143" s="17"/>
      <c r="O143" s="16"/>
      <c r="P143" s="16"/>
      <c r="Q143" s="152">
        <f>IF(F143&lt;=Exp24Q1,G143,0)+IF(H143&lt;=Exp24Q1,I143,0)+IF(J143&lt;=Exp24Q1,K143,0)+IF(L143&lt;=Exp24Q1,M143,0)+IF(N143&lt;=Exp24Q1,O143,0)</f>
        <v>0</v>
      </c>
      <c r="R143" s="152">
        <f>IF(F143&lt;=Exp24H1,G143,0)+IF(H143&lt;=Exp24H1,I143,0)+IF(J143&lt;=Exp24H1,K143,0)+IF(L143&lt;=Exp24H1,M143,0)+IF(N143&lt;=Exp24H1,O143,0)</f>
        <v>2.8</v>
      </c>
      <c r="S143" s="152">
        <f>IF(F143&lt;=Exp24Q3,G143,0)+IF(H143&lt;=Exp24Q3,I143,0)+IF(J143&lt;=Exp24Q3,K143,0)+IF(L143&lt;=Exp24Q3,M143,0)+IF(N143&lt;=Exp24Q3,O143,0)</f>
        <v>2.8</v>
      </c>
      <c r="T143" s="18">
        <f>G143+I143+K143+M143+O143</f>
        <v>2.8</v>
      </c>
    </row>
    <row r="144" spans="2:20" x14ac:dyDescent="0.25">
      <c r="B144" s="117" t="s">
        <v>264</v>
      </c>
      <c r="C144" s="136" t="s">
        <v>265</v>
      </c>
      <c r="D144" s="45" t="s">
        <v>15</v>
      </c>
      <c r="E144" s="45" t="s">
        <v>56</v>
      </c>
      <c r="F144" s="147">
        <v>45358</v>
      </c>
      <c r="G144" s="148">
        <f>0.31*0.97639243</f>
        <v>0.30268165329999996</v>
      </c>
      <c r="H144" s="147">
        <v>45421</v>
      </c>
      <c r="I144" s="148">
        <f>0.1*0.97639243</f>
        <v>9.7639243000000001E-2</v>
      </c>
      <c r="J144" s="15">
        <v>45519</v>
      </c>
      <c r="K144" s="16">
        <v>0.1</v>
      </c>
      <c r="L144" s="15">
        <v>45603</v>
      </c>
      <c r="M144" s="63">
        <v>0.1</v>
      </c>
      <c r="N144" s="17"/>
      <c r="O144" s="16"/>
      <c r="P144" s="16"/>
      <c r="Q144" s="152">
        <f t="shared" si="6"/>
        <v>0.30268165329999996</v>
      </c>
      <c r="R144" s="152">
        <f t="shared" si="24"/>
        <v>0.40032089629999995</v>
      </c>
      <c r="S144" s="152">
        <f t="shared" si="25"/>
        <v>0.50032089629999998</v>
      </c>
      <c r="T144" s="18">
        <f t="shared" si="7"/>
        <v>0.60032089629999996</v>
      </c>
    </row>
    <row r="145" spans="2:20" x14ac:dyDescent="0.25">
      <c r="B145" s="117" t="s">
        <v>268</v>
      </c>
      <c r="C145" s="136" t="s">
        <v>269</v>
      </c>
      <c r="D145" s="14" t="s">
        <v>15</v>
      </c>
      <c r="E145" s="14" t="s">
        <v>761</v>
      </c>
      <c r="F145" s="15">
        <v>45337</v>
      </c>
      <c r="G145" s="16">
        <v>51.82</v>
      </c>
      <c r="H145" s="15">
        <v>45435</v>
      </c>
      <c r="I145" s="16">
        <v>22.45</v>
      </c>
      <c r="J145" s="15">
        <v>45526</v>
      </c>
      <c r="K145" s="16">
        <v>22.45</v>
      </c>
      <c r="L145" s="15">
        <v>45624</v>
      </c>
      <c r="M145" s="63">
        <v>54.26</v>
      </c>
      <c r="N145" s="17"/>
      <c r="O145" s="16"/>
      <c r="P145" s="16"/>
      <c r="Q145" s="152">
        <f t="shared" ref="Q145:Q209" si="26">IF(F145&lt;=Exp24Q1,G145,0)+IF(H145&lt;=Exp24Q1,I145,0)+IF(J145&lt;=Exp24Q1,K145,0)+IF(L145&lt;=Exp24Q1,M145,0)+IF(N145&lt;=Exp24Q1,O145,0)</f>
        <v>51.82</v>
      </c>
      <c r="R145" s="152">
        <f t="shared" si="24"/>
        <v>74.27</v>
      </c>
      <c r="S145" s="152">
        <f t="shared" si="25"/>
        <v>96.72</v>
      </c>
      <c r="T145" s="18">
        <f t="shared" si="7"/>
        <v>150.97999999999999</v>
      </c>
    </row>
    <row r="146" spans="2:20" x14ac:dyDescent="0.25">
      <c r="B146" s="117" t="s">
        <v>270</v>
      </c>
      <c r="C146" s="136" t="s">
        <v>271</v>
      </c>
      <c r="D146" s="14" t="s">
        <v>15</v>
      </c>
      <c r="E146" s="14" t="s">
        <v>16</v>
      </c>
      <c r="F146" s="147">
        <v>45411</v>
      </c>
      <c r="G146" s="148">
        <f>0.77*0.99064196</f>
        <v>0.76279430920000002</v>
      </c>
      <c r="H146" s="147">
        <v>45596</v>
      </c>
      <c r="I146" s="148">
        <f>0.27*0.99064196</f>
        <v>0.26747332920000005</v>
      </c>
      <c r="J146" s="15"/>
      <c r="K146" s="16"/>
      <c r="L146" s="15"/>
      <c r="M146" s="63"/>
      <c r="N146" s="17"/>
      <c r="O146" s="16"/>
      <c r="P146" s="16"/>
      <c r="Q146" s="152">
        <f t="shared" si="26"/>
        <v>0</v>
      </c>
      <c r="R146" s="152">
        <f t="shared" si="24"/>
        <v>0.76279430920000002</v>
      </c>
      <c r="S146" s="152">
        <f t="shared" si="25"/>
        <v>0.76279430920000002</v>
      </c>
      <c r="T146" s="18">
        <f t="shared" si="7"/>
        <v>1.0302676384</v>
      </c>
    </row>
    <row r="147" spans="2:20" x14ac:dyDescent="0.25">
      <c r="B147" s="117" t="s">
        <v>871</v>
      </c>
      <c r="C147" s="136" t="s">
        <v>872</v>
      </c>
      <c r="D147" s="14" t="s">
        <v>15</v>
      </c>
      <c r="E147" s="14" t="s">
        <v>16</v>
      </c>
      <c r="F147" s="15">
        <v>45348</v>
      </c>
      <c r="G147" s="16">
        <v>0.35</v>
      </c>
      <c r="H147" s="15"/>
      <c r="I147" s="16"/>
      <c r="J147" s="15"/>
      <c r="K147" s="16"/>
      <c r="L147" s="15"/>
      <c r="M147" s="63"/>
      <c r="N147" s="17"/>
      <c r="O147" s="16"/>
      <c r="P147" s="16"/>
      <c r="Q147" s="152">
        <f t="shared" si="26"/>
        <v>0.35</v>
      </c>
      <c r="R147" s="152">
        <f t="shared" si="24"/>
        <v>0.35</v>
      </c>
      <c r="S147" s="152">
        <f t="shared" si="25"/>
        <v>0.35</v>
      </c>
      <c r="T147" s="18">
        <f t="shared" si="7"/>
        <v>0.35</v>
      </c>
    </row>
    <row r="148" spans="2:20" x14ac:dyDescent="0.25">
      <c r="B148" s="117" t="s">
        <v>273</v>
      </c>
      <c r="C148" s="136" t="s">
        <v>274</v>
      </c>
      <c r="D148" s="14" t="s">
        <v>15</v>
      </c>
      <c r="E148" s="14" t="s">
        <v>16</v>
      </c>
      <c r="F148" s="15">
        <v>45406</v>
      </c>
      <c r="G148" s="16">
        <v>0.75600000000000001</v>
      </c>
      <c r="H148" s="15">
        <v>45509</v>
      </c>
      <c r="I148" s="16">
        <v>0.35</v>
      </c>
      <c r="J148" s="15"/>
      <c r="K148" s="16"/>
      <c r="L148" s="15"/>
      <c r="M148" s="63"/>
      <c r="N148" s="17"/>
      <c r="O148" s="16"/>
      <c r="P148" s="16"/>
      <c r="Q148" s="152">
        <f t="shared" si="26"/>
        <v>0</v>
      </c>
      <c r="R148" s="152">
        <f t="shared" si="24"/>
        <v>0.75600000000000001</v>
      </c>
      <c r="S148" s="152">
        <f t="shared" si="25"/>
        <v>1.1059999999999999</v>
      </c>
      <c r="T148" s="18">
        <f t="shared" si="7"/>
        <v>1.1059999999999999</v>
      </c>
    </row>
    <row r="149" spans="2:20" x14ac:dyDescent="0.25">
      <c r="B149" s="117" t="s">
        <v>948</v>
      </c>
      <c r="C149" s="136" t="s">
        <v>949</v>
      </c>
      <c r="D149" s="14" t="s">
        <v>941</v>
      </c>
      <c r="E149" s="14" t="s">
        <v>16</v>
      </c>
      <c r="F149" s="15">
        <v>45432</v>
      </c>
      <c r="G149" s="16">
        <v>0.152</v>
      </c>
      <c r="H149" s="15">
        <v>45614</v>
      </c>
      <c r="I149" s="16">
        <v>0.17</v>
      </c>
      <c r="J149" s="15"/>
      <c r="K149" s="16"/>
      <c r="L149" s="15"/>
      <c r="M149" s="63"/>
      <c r="N149" s="17"/>
      <c r="O149" s="16"/>
      <c r="P149" s="16"/>
      <c r="Q149" s="152">
        <f t="shared" ref="Q149" si="27">IF(F149&lt;=Exp24Q1,G149,0)+IF(H149&lt;=Exp24Q1,I149,0)+IF(J149&lt;=Exp24Q1,K149,0)+IF(L149&lt;=Exp24Q1,M149,0)+IF(N149&lt;=Exp24Q1,O149,0)</f>
        <v>0</v>
      </c>
      <c r="R149" s="152">
        <f t="shared" ref="R149" si="28">IF(F149&lt;=Exp24H1,G149,0)+IF(H149&lt;=Exp24H1,I149,0)+IF(J149&lt;=Exp24H1,K149,0)+IF(L149&lt;=Exp24H1,M149,0)+IF(N149&lt;=Exp24H1,O149,0)</f>
        <v>0.152</v>
      </c>
      <c r="S149" s="152">
        <f t="shared" ref="S149" si="29">IF(F149&lt;=Exp24Q3,G149,0)+IF(H149&lt;=Exp24Q3,I149,0)+IF(J149&lt;=Exp24Q3,K149,0)+IF(L149&lt;=Exp24Q3,M149,0)+IF(N149&lt;=Exp24Q3,O149,0)</f>
        <v>0.152</v>
      </c>
      <c r="T149" s="18">
        <f t="shared" ref="T149" si="30">G149+I149+K149+M149+O149</f>
        <v>0.32200000000000001</v>
      </c>
    </row>
    <row r="150" spans="2:20" x14ac:dyDescent="0.25">
      <c r="B150" s="117" t="s">
        <v>836</v>
      </c>
      <c r="C150" s="136" t="s">
        <v>837</v>
      </c>
      <c r="D150" s="14" t="s">
        <v>15</v>
      </c>
      <c r="E150" s="14" t="s">
        <v>200</v>
      </c>
      <c r="F150" s="15">
        <v>45420</v>
      </c>
      <c r="G150" s="16">
        <v>3.6</v>
      </c>
      <c r="H150" s="15">
        <v>45604</v>
      </c>
      <c r="I150" s="16">
        <v>1.2</v>
      </c>
      <c r="J150" s="15"/>
      <c r="K150" s="16"/>
      <c r="L150" s="15"/>
      <c r="M150" s="63"/>
      <c r="N150" s="17"/>
      <c r="O150" s="16"/>
      <c r="P150" s="16"/>
      <c r="Q150" s="152">
        <f t="shared" si="26"/>
        <v>0</v>
      </c>
      <c r="R150" s="152">
        <f t="shared" si="24"/>
        <v>3.6</v>
      </c>
      <c r="S150" s="152">
        <f t="shared" si="25"/>
        <v>3.6</v>
      </c>
      <c r="T150" s="18">
        <f t="shared" ref="T150:T212" si="31">G150+I150+K150+M150+O150</f>
        <v>4.8</v>
      </c>
    </row>
    <row r="151" spans="2:20" x14ac:dyDescent="0.25">
      <c r="B151" s="117" t="s">
        <v>751</v>
      </c>
      <c r="C151" s="136" t="s">
        <v>752</v>
      </c>
      <c r="D151" s="14" t="s">
        <v>237</v>
      </c>
      <c r="E151" s="14" t="s">
        <v>16</v>
      </c>
      <c r="F151" s="15">
        <v>45425</v>
      </c>
      <c r="G151" s="16">
        <v>0.65500000000000003</v>
      </c>
      <c r="H151" s="15"/>
      <c r="I151" s="16"/>
      <c r="J151" s="15"/>
      <c r="K151" s="16"/>
      <c r="L151" s="15"/>
      <c r="M151" s="63"/>
      <c r="N151" s="17"/>
      <c r="O151" s="16"/>
      <c r="P151" s="16"/>
      <c r="Q151" s="152">
        <f t="shared" si="26"/>
        <v>0</v>
      </c>
      <c r="R151" s="152">
        <f t="shared" si="24"/>
        <v>0.65500000000000003</v>
      </c>
      <c r="S151" s="152">
        <f t="shared" si="25"/>
        <v>0.65500000000000003</v>
      </c>
      <c r="T151" s="18">
        <f t="shared" si="31"/>
        <v>0.65500000000000003</v>
      </c>
    </row>
    <row r="152" spans="2:20" x14ac:dyDescent="0.25">
      <c r="B152" s="117" t="s">
        <v>284</v>
      </c>
      <c r="C152" s="136" t="s">
        <v>285</v>
      </c>
      <c r="D152" s="14" t="s">
        <v>15</v>
      </c>
      <c r="E152" s="14" t="s">
        <v>21</v>
      </c>
      <c r="F152" s="15">
        <v>45397</v>
      </c>
      <c r="G152" s="16">
        <v>2.6</v>
      </c>
      <c r="H152" s="15"/>
      <c r="I152" s="16"/>
      <c r="J152" s="15"/>
      <c r="K152" s="16"/>
      <c r="L152" s="15"/>
      <c r="M152" s="63"/>
      <c r="N152" s="17"/>
      <c r="O152" s="16"/>
      <c r="P152" s="16"/>
      <c r="Q152" s="152">
        <f t="shared" si="26"/>
        <v>0</v>
      </c>
      <c r="R152" s="152">
        <f t="shared" si="24"/>
        <v>2.6</v>
      </c>
      <c r="S152" s="152">
        <f t="shared" si="25"/>
        <v>2.6</v>
      </c>
      <c r="T152" s="18">
        <f t="shared" si="31"/>
        <v>2.6</v>
      </c>
    </row>
    <row r="153" spans="2:20" x14ac:dyDescent="0.25">
      <c r="B153" s="12" t="s">
        <v>286</v>
      </c>
      <c r="C153" s="136" t="s">
        <v>287</v>
      </c>
      <c r="D153" s="14" t="s">
        <v>15</v>
      </c>
      <c r="E153" s="14" t="s">
        <v>16</v>
      </c>
      <c r="F153" s="15">
        <v>45427</v>
      </c>
      <c r="G153" s="16">
        <v>0.7</v>
      </c>
      <c r="H153" s="15"/>
      <c r="I153" s="16"/>
      <c r="J153" s="15"/>
      <c r="K153" s="16"/>
      <c r="L153" s="15"/>
      <c r="M153" s="63"/>
      <c r="N153" s="17"/>
      <c r="O153" s="16"/>
      <c r="P153" s="16"/>
      <c r="Q153" s="152">
        <f t="shared" si="26"/>
        <v>0</v>
      </c>
      <c r="R153" s="152">
        <f t="shared" si="24"/>
        <v>0.7</v>
      </c>
      <c r="S153" s="152">
        <f t="shared" si="25"/>
        <v>0.7</v>
      </c>
      <c r="T153" s="18">
        <f t="shared" si="31"/>
        <v>0.7</v>
      </c>
    </row>
    <row r="154" spans="2:20" x14ac:dyDescent="0.25">
      <c r="B154" s="117" t="s">
        <v>288</v>
      </c>
      <c r="C154" s="136" t="s">
        <v>289</v>
      </c>
      <c r="D154" s="14" t="s">
        <v>27</v>
      </c>
      <c r="E154" s="14" t="s">
        <v>16</v>
      </c>
      <c r="F154" s="147">
        <v>45425</v>
      </c>
      <c r="G154" s="148">
        <f>3.15*0.98966942</f>
        <v>3.1174586729999998</v>
      </c>
      <c r="H154" s="15">
        <v>45608</v>
      </c>
      <c r="I154" s="16">
        <v>1</v>
      </c>
      <c r="J154" s="15"/>
      <c r="K154" s="16"/>
      <c r="L154" s="15"/>
      <c r="M154" s="63"/>
      <c r="N154" s="17"/>
      <c r="O154" s="16"/>
      <c r="P154" s="16"/>
      <c r="Q154" s="152">
        <f t="shared" si="26"/>
        <v>0</v>
      </c>
      <c r="R154" s="152">
        <f t="shared" si="24"/>
        <v>3.1174586729999998</v>
      </c>
      <c r="S154" s="152">
        <f t="shared" si="25"/>
        <v>3.1174586729999998</v>
      </c>
      <c r="T154" s="18">
        <f t="shared" si="31"/>
        <v>4.1174586729999998</v>
      </c>
    </row>
    <row r="155" spans="2:20" x14ac:dyDescent="0.25">
      <c r="B155" s="117" t="s">
        <v>290</v>
      </c>
      <c r="C155" s="136" t="s">
        <v>291</v>
      </c>
      <c r="D155" s="14" t="s">
        <v>24</v>
      </c>
      <c r="E155" s="14" t="s">
        <v>16</v>
      </c>
      <c r="F155" s="15">
        <v>45306</v>
      </c>
      <c r="G155" s="16">
        <v>4.5</v>
      </c>
      <c r="H155" s="15">
        <v>45414</v>
      </c>
      <c r="I155" s="16">
        <v>9.5</v>
      </c>
      <c r="J155" s="15"/>
      <c r="K155" s="16"/>
      <c r="L155" s="15"/>
      <c r="M155" s="63"/>
      <c r="N155" s="17"/>
      <c r="O155" s="16"/>
      <c r="P155" s="16"/>
      <c r="Q155" s="152">
        <f t="shared" si="26"/>
        <v>4.5</v>
      </c>
      <c r="R155" s="152">
        <f t="shared" si="24"/>
        <v>14</v>
      </c>
      <c r="S155" s="152">
        <f t="shared" si="25"/>
        <v>14</v>
      </c>
      <c r="T155" s="18">
        <f t="shared" si="31"/>
        <v>14</v>
      </c>
    </row>
    <row r="156" spans="2:20" x14ac:dyDescent="0.25">
      <c r="B156" s="117" t="s">
        <v>292</v>
      </c>
      <c r="C156" s="136" t="s">
        <v>293</v>
      </c>
      <c r="D156" s="14" t="s">
        <v>15</v>
      </c>
      <c r="E156" s="14" t="s">
        <v>16</v>
      </c>
      <c r="F156" s="15">
        <v>45378</v>
      </c>
      <c r="G156" s="16">
        <v>0.26</v>
      </c>
      <c r="H156" s="15">
        <v>45488</v>
      </c>
      <c r="I156" s="16">
        <v>0.25</v>
      </c>
      <c r="J156" s="15">
        <v>45579</v>
      </c>
      <c r="K156" s="16">
        <v>0.26</v>
      </c>
      <c r="L156" s="15"/>
      <c r="M156" s="63"/>
      <c r="N156" s="17"/>
      <c r="O156" s="16"/>
      <c r="P156" s="16"/>
      <c r="Q156" s="152">
        <f t="shared" si="26"/>
        <v>0</v>
      </c>
      <c r="R156" s="152">
        <f t="shared" si="24"/>
        <v>0.26</v>
      </c>
      <c r="S156" s="152">
        <f t="shared" si="25"/>
        <v>0.51</v>
      </c>
      <c r="T156" s="18">
        <f t="shared" si="31"/>
        <v>0.77</v>
      </c>
    </row>
    <row r="157" spans="2:20" x14ac:dyDescent="0.25">
      <c r="B157" s="117" t="s">
        <v>294</v>
      </c>
      <c r="C157" s="136" t="s">
        <v>295</v>
      </c>
      <c r="D157" s="14" t="s">
        <v>15</v>
      </c>
      <c r="E157" s="14" t="s">
        <v>200</v>
      </c>
      <c r="F157" s="15"/>
      <c r="G157" s="16"/>
      <c r="H157" s="15"/>
      <c r="I157" s="16"/>
      <c r="J157" s="15"/>
      <c r="K157" s="16"/>
      <c r="L157" s="15"/>
      <c r="M157" s="63"/>
      <c r="N157" s="17"/>
      <c r="O157" s="16"/>
      <c r="P157" s="16"/>
      <c r="Q157" s="152">
        <f t="shared" si="26"/>
        <v>0</v>
      </c>
      <c r="R157" s="152">
        <f t="shared" si="24"/>
        <v>0</v>
      </c>
      <c r="S157" s="152">
        <f t="shared" si="25"/>
        <v>0</v>
      </c>
      <c r="T157" s="18">
        <f t="shared" si="31"/>
        <v>0</v>
      </c>
    </row>
    <row r="158" spans="2:20" x14ac:dyDescent="0.25">
      <c r="B158" s="117" t="s">
        <v>688</v>
      </c>
      <c r="C158" s="136" t="s">
        <v>689</v>
      </c>
      <c r="D158" s="14" t="s">
        <v>24</v>
      </c>
      <c r="E158" s="14" t="s">
        <v>16</v>
      </c>
      <c r="F158" s="15">
        <v>45373</v>
      </c>
      <c r="G158" s="16">
        <v>0.9</v>
      </c>
      <c r="H158" s="15">
        <v>45482</v>
      </c>
      <c r="I158" s="16">
        <v>0.9</v>
      </c>
      <c r="J158" s="15"/>
      <c r="K158" s="16"/>
      <c r="L158" s="15"/>
      <c r="M158" s="63"/>
      <c r="N158" s="17"/>
      <c r="O158" s="16"/>
      <c r="P158" s="16"/>
      <c r="Q158" s="152">
        <f t="shared" si="26"/>
        <v>0</v>
      </c>
      <c r="R158" s="152">
        <f t="shared" si="24"/>
        <v>0.9</v>
      </c>
      <c r="S158" s="152">
        <f t="shared" si="25"/>
        <v>1.8</v>
      </c>
      <c r="T158" s="18">
        <f t="shared" si="31"/>
        <v>1.8</v>
      </c>
    </row>
    <row r="159" spans="2:20" x14ac:dyDescent="0.25">
      <c r="B159" s="117" t="s">
        <v>861</v>
      </c>
      <c r="C159" s="136" t="s">
        <v>862</v>
      </c>
      <c r="D159" s="14" t="s">
        <v>15</v>
      </c>
      <c r="E159" s="14" t="s">
        <v>16</v>
      </c>
      <c r="F159" s="15">
        <v>45352</v>
      </c>
      <c r="G159" s="16">
        <v>1.75</v>
      </c>
      <c r="H159" s="15"/>
      <c r="I159" s="16"/>
      <c r="J159" s="15"/>
      <c r="K159" s="16"/>
      <c r="L159" s="15"/>
      <c r="M159" s="63"/>
      <c r="N159" s="17"/>
      <c r="O159" s="16"/>
      <c r="P159" s="16"/>
      <c r="Q159" s="152">
        <f t="shared" si="26"/>
        <v>1.75</v>
      </c>
      <c r="R159" s="152">
        <f t="shared" si="24"/>
        <v>1.75</v>
      </c>
      <c r="S159" s="152">
        <f t="shared" si="25"/>
        <v>1.75</v>
      </c>
      <c r="T159" s="18">
        <f t="shared" si="31"/>
        <v>1.75</v>
      </c>
    </row>
    <row r="160" spans="2:20" x14ac:dyDescent="0.25">
      <c r="B160" s="117" t="s">
        <v>296</v>
      </c>
      <c r="C160" s="136" t="s">
        <v>297</v>
      </c>
      <c r="D160" s="14" t="s">
        <v>15</v>
      </c>
      <c r="E160" s="14" t="s">
        <v>16</v>
      </c>
      <c r="F160" s="15">
        <v>45401</v>
      </c>
      <c r="G160" s="16">
        <v>9.8000000000000004E-2</v>
      </c>
      <c r="H160" s="15">
        <v>45499</v>
      </c>
      <c r="I160" s="16">
        <v>6.8000000000000005E-2</v>
      </c>
      <c r="J160" s="15"/>
      <c r="K160" s="16"/>
      <c r="L160" s="15"/>
      <c r="M160" s="63"/>
      <c r="N160" s="17"/>
      <c r="O160" s="16"/>
      <c r="P160" s="47"/>
      <c r="Q160" s="152">
        <f t="shared" si="26"/>
        <v>0</v>
      </c>
      <c r="R160" s="152">
        <f t="shared" si="24"/>
        <v>9.8000000000000004E-2</v>
      </c>
      <c r="S160" s="152">
        <f t="shared" si="25"/>
        <v>0.16600000000000001</v>
      </c>
      <c r="T160" s="18">
        <f t="shared" si="31"/>
        <v>0.16600000000000001</v>
      </c>
    </row>
    <row r="161" spans="2:20" x14ac:dyDescent="0.25">
      <c r="B161" s="117" t="s">
        <v>302</v>
      </c>
      <c r="C161" s="136" t="s">
        <v>303</v>
      </c>
      <c r="D161" s="14" t="s">
        <v>15</v>
      </c>
      <c r="E161" s="14" t="s">
        <v>761</v>
      </c>
      <c r="F161" s="15">
        <v>45407</v>
      </c>
      <c r="G161" s="16">
        <v>14.63</v>
      </c>
      <c r="H161" s="15">
        <v>45526</v>
      </c>
      <c r="I161" s="16">
        <v>6</v>
      </c>
      <c r="J161" s="15"/>
      <c r="K161" s="16"/>
      <c r="L161" s="15"/>
      <c r="M161" s="63"/>
      <c r="N161" s="17"/>
      <c r="O161" s="16"/>
      <c r="P161" s="16"/>
      <c r="Q161" s="152">
        <f t="shared" si="26"/>
        <v>0</v>
      </c>
      <c r="R161" s="152">
        <f t="shared" si="24"/>
        <v>14.63</v>
      </c>
      <c r="S161" s="152">
        <f t="shared" si="25"/>
        <v>20.630000000000003</v>
      </c>
      <c r="T161" s="18">
        <f t="shared" si="31"/>
        <v>20.630000000000003</v>
      </c>
    </row>
    <row r="162" spans="2:20" x14ac:dyDescent="0.25">
      <c r="B162" s="117" t="s">
        <v>304</v>
      </c>
      <c r="C162" s="136" t="s">
        <v>305</v>
      </c>
      <c r="D162" s="14" t="s">
        <v>24</v>
      </c>
      <c r="E162" s="14" t="s">
        <v>16</v>
      </c>
      <c r="F162" s="15">
        <v>45443</v>
      </c>
      <c r="G162" s="16">
        <v>2.09</v>
      </c>
      <c r="H162" s="15"/>
      <c r="I162" s="16"/>
      <c r="J162" s="15"/>
      <c r="K162" s="16"/>
      <c r="L162" s="15"/>
      <c r="M162" s="63"/>
      <c r="N162" s="17"/>
      <c r="O162" s="16"/>
      <c r="P162" s="16"/>
      <c r="Q162" s="152">
        <f t="shared" si="26"/>
        <v>0</v>
      </c>
      <c r="R162" s="152">
        <f t="shared" si="24"/>
        <v>2.09</v>
      </c>
      <c r="S162" s="152">
        <f t="shared" si="25"/>
        <v>2.09</v>
      </c>
      <c r="T162" s="18">
        <f t="shared" si="31"/>
        <v>2.09</v>
      </c>
    </row>
    <row r="163" spans="2:20" x14ac:dyDescent="0.25">
      <c r="B163" s="117" t="s">
        <v>308</v>
      </c>
      <c r="C163" s="136" t="s">
        <v>309</v>
      </c>
      <c r="D163" s="14" t="s">
        <v>15</v>
      </c>
      <c r="E163" s="14" t="s">
        <v>761</v>
      </c>
      <c r="F163" s="15">
        <v>45393</v>
      </c>
      <c r="G163" s="16">
        <v>1.84</v>
      </c>
      <c r="H163" s="15">
        <v>45505</v>
      </c>
      <c r="I163" s="16">
        <v>1.06</v>
      </c>
      <c r="J163" s="15"/>
      <c r="K163" s="16"/>
      <c r="L163" s="15"/>
      <c r="M163" s="63"/>
      <c r="N163" s="17"/>
      <c r="O163" s="16"/>
      <c r="P163" s="16"/>
      <c r="Q163" s="152">
        <f t="shared" si="26"/>
        <v>0</v>
      </c>
      <c r="R163" s="152">
        <f t="shared" si="24"/>
        <v>1.84</v>
      </c>
      <c r="S163" s="152">
        <f t="shared" si="25"/>
        <v>2.9000000000000004</v>
      </c>
      <c r="T163" s="18">
        <f t="shared" si="31"/>
        <v>2.9000000000000004</v>
      </c>
    </row>
    <row r="164" spans="2:20" x14ac:dyDescent="0.25">
      <c r="B164" s="117" t="s">
        <v>877</v>
      </c>
      <c r="C164" s="136" t="s">
        <v>875</v>
      </c>
      <c r="D164" s="14" t="s">
        <v>15</v>
      </c>
      <c r="E164" s="14" t="s">
        <v>21</v>
      </c>
      <c r="F164" s="15">
        <v>45558</v>
      </c>
      <c r="G164" s="16">
        <v>1.1599999999999999</v>
      </c>
      <c r="H164" s="15"/>
      <c r="I164" s="16"/>
      <c r="J164" s="15"/>
      <c r="K164" s="16"/>
      <c r="L164" s="15"/>
      <c r="M164" s="63"/>
      <c r="N164" s="17"/>
      <c r="O164" s="16"/>
      <c r="P164" s="16"/>
      <c r="Q164" s="152">
        <f t="shared" si="26"/>
        <v>0</v>
      </c>
      <c r="R164" s="152">
        <f t="shared" si="24"/>
        <v>0</v>
      </c>
      <c r="S164" s="152">
        <f t="shared" si="25"/>
        <v>0</v>
      </c>
      <c r="T164" s="18">
        <f t="shared" si="31"/>
        <v>1.1599999999999999</v>
      </c>
    </row>
    <row r="165" spans="2:20" x14ac:dyDescent="0.25">
      <c r="B165" s="117" t="s">
        <v>876</v>
      </c>
      <c r="C165" s="136" t="s">
        <v>878</v>
      </c>
      <c r="D165" s="14" t="s">
        <v>15</v>
      </c>
      <c r="E165" s="14" t="s">
        <v>21</v>
      </c>
      <c r="F165" s="15">
        <v>45425</v>
      </c>
      <c r="G165" s="16">
        <v>4</v>
      </c>
      <c r="H165" s="15"/>
      <c r="I165" s="16"/>
      <c r="J165" s="15"/>
      <c r="K165" s="16"/>
      <c r="L165" s="15"/>
      <c r="M165" s="63"/>
      <c r="N165" s="17"/>
      <c r="O165" s="16"/>
      <c r="P165" s="16"/>
      <c r="Q165" s="152">
        <f t="shared" si="26"/>
        <v>0</v>
      </c>
      <c r="R165" s="152">
        <f t="shared" si="24"/>
        <v>4</v>
      </c>
      <c r="S165" s="152">
        <f t="shared" si="25"/>
        <v>4</v>
      </c>
      <c r="T165" s="18">
        <f t="shared" si="31"/>
        <v>4</v>
      </c>
    </row>
    <row r="166" spans="2:20" x14ac:dyDescent="0.25">
      <c r="B166" s="117" t="s">
        <v>310</v>
      </c>
      <c r="C166" s="136" t="s">
        <v>311</v>
      </c>
      <c r="D166" s="14" t="s">
        <v>24</v>
      </c>
      <c r="E166" s="14" t="s">
        <v>16</v>
      </c>
      <c r="F166" s="15">
        <v>45408</v>
      </c>
      <c r="G166" s="16">
        <v>6.6</v>
      </c>
      <c r="H166" s="15"/>
      <c r="I166" s="16"/>
      <c r="J166" s="15"/>
      <c r="K166" s="16"/>
      <c r="L166" s="15"/>
      <c r="M166" s="63"/>
      <c r="N166" s="17"/>
      <c r="O166" s="16"/>
      <c r="P166" s="16"/>
      <c r="Q166" s="152">
        <f t="shared" si="26"/>
        <v>0</v>
      </c>
      <c r="R166" s="152">
        <f t="shared" si="24"/>
        <v>6.6</v>
      </c>
      <c r="S166" s="152">
        <f t="shared" si="25"/>
        <v>6.6</v>
      </c>
      <c r="T166" s="18">
        <f t="shared" si="31"/>
        <v>6.6</v>
      </c>
    </row>
    <row r="167" spans="2:20" x14ac:dyDescent="0.25">
      <c r="B167" s="117" t="s">
        <v>312</v>
      </c>
      <c r="C167" s="136" t="s">
        <v>313</v>
      </c>
      <c r="D167" s="14" t="s">
        <v>24</v>
      </c>
      <c r="E167" s="14" t="s">
        <v>16</v>
      </c>
      <c r="F167" s="15">
        <v>45405</v>
      </c>
      <c r="G167" s="16">
        <v>7.5</v>
      </c>
      <c r="H167" s="15">
        <v>45628</v>
      </c>
      <c r="I167" s="16">
        <v>5.5</v>
      </c>
      <c r="J167" s="15"/>
      <c r="K167" s="16"/>
      <c r="L167" s="15"/>
      <c r="M167" s="63"/>
      <c r="N167" s="17"/>
      <c r="O167" s="16"/>
      <c r="P167" s="16"/>
      <c r="Q167" s="152">
        <f t="shared" si="26"/>
        <v>0</v>
      </c>
      <c r="R167" s="152">
        <f t="shared" si="24"/>
        <v>7.5</v>
      </c>
      <c r="S167" s="152">
        <f t="shared" si="25"/>
        <v>7.5</v>
      </c>
      <c r="T167" s="18">
        <f t="shared" si="31"/>
        <v>13</v>
      </c>
    </row>
    <row r="168" spans="2:20" x14ac:dyDescent="0.25">
      <c r="B168" s="117" t="s">
        <v>314</v>
      </c>
      <c r="C168" s="136" t="s">
        <v>315</v>
      </c>
      <c r="D168" s="14" t="s">
        <v>15</v>
      </c>
      <c r="E168" s="14" t="s">
        <v>16</v>
      </c>
      <c r="F168" s="15">
        <v>45434</v>
      </c>
      <c r="G168" s="16">
        <v>9.0399999999999994E-2</v>
      </c>
      <c r="H168" s="15">
        <v>45623</v>
      </c>
      <c r="I168" s="16">
        <v>6.5000000000000002E-2</v>
      </c>
      <c r="J168" s="15"/>
      <c r="K168" s="16"/>
      <c r="L168" s="15"/>
      <c r="M168" s="63"/>
      <c r="N168" s="17"/>
      <c r="O168" s="16"/>
      <c r="P168" s="16"/>
      <c r="Q168" s="152">
        <f t="shared" si="26"/>
        <v>0</v>
      </c>
      <c r="R168" s="152">
        <f t="shared" si="24"/>
        <v>9.0399999999999994E-2</v>
      </c>
      <c r="S168" s="152">
        <f t="shared" si="25"/>
        <v>9.0399999999999994E-2</v>
      </c>
      <c r="T168" s="18">
        <f t="shared" si="31"/>
        <v>0.15539999999999998</v>
      </c>
    </row>
    <row r="169" spans="2:20" x14ac:dyDescent="0.25">
      <c r="B169" s="117" t="s">
        <v>823</v>
      </c>
      <c r="C169" s="136" t="s">
        <v>819</v>
      </c>
      <c r="D169" s="14" t="s">
        <v>15</v>
      </c>
      <c r="E169" s="14" t="s">
        <v>16</v>
      </c>
      <c r="F169" s="15">
        <v>45421</v>
      </c>
      <c r="G169" s="16">
        <v>5.3</v>
      </c>
      <c r="H169" s="15"/>
      <c r="I169" s="16"/>
      <c r="J169" s="15"/>
      <c r="K169" s="16"/>
      <c r="L169" s="15"/>
      <c r="M169" s="63"/>
      <c r="N169" s="17"/>
      <c r="O169" s="16"/>
      <c r="P169" s="16"/>
      <c r="Q169" s="152">
        <f>IF(F169&lt;=Exp24Q1,G169,0)+IF(H169&lt;=Exp24Q1,I169,0)+IF(J169&lt;=Exp24Q1,K169,0)+IF(L169&lt;=Exp24Q1,M169,0)+IF(N169&lt;=Exp24Q1,O169,0)</f>
        <v>0</v>
      </c>
      <c r="R169" s="152">
        <f>IF(F169&lt;=Exp24H1,G169,0)+IF(H169&lt;=Exp24H1,I169,0)+IF(J169&lt;=Exp24H1,K169,0)+IF(L169&lt;=Exp24H1,M169,0)+IF(N169&lt;=Exp24H1,O169,0)</f>
        <v>5.3</v>
      </c>
      <c r="S169" s="152">
        <f>IF(F169&lt;=Exp24Q3,G169,0)+IF(H169&lt;=Exp24Q3,I169,0)+IF(J169&lt;=Exp24Q3,K169,0)+IF(L169&lt;=Exp24Q3,M169,0)+IF(N169&lt;=Exp24Q3,O169,0)</f>
        <v>5.3</v>
      </c>
      <c r="T169" s="18">
        <f>G169+I169+K169+M169+O169</f>
        <v>5.3</v>
      </c>
    </row>
    <row r="170" spans="2:20" x14ac:dyDescent="0.25">
      <c r="B170" s="117" t="s">
        <v>322</v>
      </c>
      <c r="C170" s="136" t="s">
        <v>323</v>
      </c>
      <c r="D170" s="14" t="s">
        <v>15</v>
      </c>
      <c r="E170" s="14" t="s">
        <v>16</v>
      </c>
      <c r="F170" s="15">
        <v>45411</v>
      </c>
      <c r="G170" s="16">
        <v>2.2000000000000002</v>
      </c>
      <c r="H170" s="15"/>
      <c r="I170" s="16"/>
      <c r="J170" s="15"/>
      <c r="K170" s="16"/>
      <c r="L170" s="15"/>
      <c r="M170" s="63"/>
      <c r="N170" s="17"/>
      <c r="O170" s="16"/>
      <c r="P170" s="16"/>
      <c r="Q170" s="152">
        <f>IF(F170&lt;=Exp24Q1,G170,0)+IF(H170&lt;=Exp24Q1,I170,0)+IF(J170&lt;=Exp24Q1,K170,0)+IF(L170&lt;=Exp24Q1,M170,0)+IF(N170&lt;=Exp24Q1,O170,0)</f>
        <v>0</v>
      </c>
      <c r="R170" s="152">
        <f>IF(F170&lt;=Exp24H1,G170,0)+IF(H170&lt;=Exp24H1,I170,0)+IF(J170&lt;=Exp24H1,K170,0)+IF(L170&lt;=Exp24H1,M170,0)+IF(N170&lt;=Exp24H1,O170,0)</f>
        <v>2.2000000000000002</v>
      </c>
      <c r="S170" s="152">
        <f>IF(F170&lt;=Exp24Q3,G170,0)+IF(H170&lt;=Exp24Q3,I170,0)+IF(J170&lt;=Exp24Q3,K170,0)+IF(L170&lt;=Exp24Q3,M170,0)+IF(N170&lt;=Exp24Q3,O170,0)</f>
        <v>2.2000000000000002</v>
      </c>
      <c r="T170" s="18">
        <f>G170+I170+K170+M170+O170</f>
        <v>2.2000000000000002</v>
      </c>
    </row>
    <row r="171" spans="2:20" x14ac:dyDescent="0.25">
      <c r="B171" s="117" t="s">
        <v>934</v>
      </c>
      <c r="C171" s="136" t="s">
        <v>917</v>
      </c>
      <c r="D171" s="39" t="s">
        <v>755</v>
      </c>
      <c r="E171" s="39" t="s">
        <v>16</v>
      </c>
      <c r="F171" s="15">
        <v>45408</v>
      </c>
      <c r="G171" s="16">
        <v>0.18</v>
      </c>
      <c r="H171" s="15">
        <v>45589</v>
      </c>
      <c r="I171" s="16">
        <v>0.18</v>
      </c>
      <c r="J171" s="15"/>
      <c r="K171" s="16"/>
      <c r="L171" s="15"/>
      <c r="M171" s="63"/>
      <c r="N171" s="17"/>
      <c r="O171" s="16"/>
      <c r="P171" s="16"/>
      <c r="Q171" s="152">
        <f t="shared" si="26"/>
        <v>0</v>
      </c>
      <c r="R171" s="152">
        <f t="shared" si="24"/>
        <v>0.18</v>
      </c>
      <c r="S171" s="152">
        <f t="shared" si="25"/>
        <v>0.18</v>
      </c>
      <c r="T171" s="18">
        <f t="shared" si="31"/>
        <v>0.36</v>
      </c>
    </row>
    <row r="172" spans="2:20" x14ac:dyDescent="0.25">
      <c r="B172" s="117" t="s">
        <v>329</v>
      </c>
      <c r="C172" s="136" t="s">
        <v>330</v>
      </c>
      <c r="D172" s="14" t="s">
        <v>24</v>
      </c>
      <c r="E172" s="14" t="s">
        <v>16</v>
      </c>
      <c r="F172" s="15">
        <v>45434</v>
      </c>
      <c r="G172" s="16">
        <v>1.35</v>
      </c>
      <c r="H172" s="15"/>
      <c r="I172" s="16"/>
      <c r="J172" s="15"/>
      <c r="K172" s="16"/>
      <c r="L172" s="15"/>
      <c r="M172" s="63"/>
      <c r="N172" s="17"/>
      <c r="O172" s="16"/>
      <c r="P172" s="16"/>
      <c r="Q172" s="152">
        <f t="shared" si="26"/>
        <v>0</v>
      </c>
      <c r="R172" s="152">
        <f t="shared" si="24"/>
        <v>1.35</v>
      </c>
      <c r="S172" s="152">
        <f t="shared" si="25"/>
        <v>1.35</v>
      </c>
      <c r="T172" s="18">
        <f t="shared" si="31"/>
        <v>1.35</v>
      </c>
    </row>
    <row r="173" spans="2:20" x14ac:dyDescent="0.25">
      <c r="B173" s="117" t="s">
        <v>779</v>
      </c>
      <c r="C173" s="136" t="s">
        <v>780</v>
      </c>
      <c r="D173" s="14" t="s">
        <v>755</v>
      </c>
      <c r="E173" s="14" t="s">
        <v>475</v>
      </c>
      <c r="F173" s="15">
        <v>45345</v>
      </c>
      <c r="G173" s="16">
        <v>1.9</v>
      </c>
      <c r="H173" s="15">
        <v>45428</v>
      </c>
      <c r="I173" s="16">
        <v>1.5</v>
      </c>
      <c r="J173" s="15">
        <v>45534</v>
      </c>
      <c r="K173" s="16">
        <v>1.7</v>
      </c>
      <c r="L173" s="15">
        <v>45611</v>
      </c>
      <c r="M173" s="63">
        <v>1.5</v>
      </c>
      <c r="N173" s="17"/>
      <c r="O173" s="16"/>
      <c r="P173" s="16"/>
      <c r="Q173" s="152">
        <f t="shared" si="26"/>
        <v>1.9</v>
      </c>
      <c r="R173" s="152">
        <f t="shared" si="24"/>
        <v>3.4</v>
      </c>
      <c r="S173" s="152">
        <f t="shared" si="25"/>
        <v>5.0999999999999996</v>
      </c>
      <c r="T173" s="18">
        <f t="shared" si="31"/>
        <v>6.6</v>
      </c>
    </row>
    <row r="174" spans="2:20" x14ac:dyDescent="0.25">
      <c r="B174" s="117" t="s">
        <v>885</v>
      </c>
      <c r="C174" s="136" t="s">
        <v>334</v>
      </c>
      <c r="D174" s="14" t="s">
        <v>15</v>
      </c>
      <c r="E174" s="14" t="s">
        <v>16</v>
      </c>
      <c r="F174" s="15">
        <v>45408</v>
      </c>
      <c r="G174" s="16">
        <v>15</v>
      </c>
      <c r="H174" s="15"/>
      <c r="I174" s="16"/>
      <c r="J174" s="15"/>
      <c r="K174" s="16"/>
      <c r="L174" s="15"/>
      <c r="M174" s="63"/>
      <c r="N174" s="17"/>
      <c r="O174" s="16"/>
      <c r="P174" s="16"/>
      <c r="Q174" s="152">
        <f t="shared" si="26"/>
        <v>0</v>
      </c>
      <c r="R174" s="152">
        <f t="shared" si="24"/>
        <v>15</v>
      </c>
      <c r="S174" s="152">
        <f t="shared" si="25"/>
        <v>15</v>
      </c>
      <c r="T174" s="18">
        <f t="shared" si="31"/>
        <v>15</v>
      </c>
    </row>
    <row r="175" spans="2:20" x14ac:dyDescent="0.25">
      <c r="B175" s="117" t="s">
        <v>335</v>
      </c>
      <c r="C175" s="136" t="s">
        <v>336</v>
      </c>
      <c r="D175" s="14" t="s">
        <v>15</v>
      </c>
      <c r="E175" s="14" t="s">
        <v>761</v>
      </c>
      <c r="F175" s="15">
        <v>45449</v>
      </c>
      <c r="G175" s="16">
        <v>39.119999999999997</v>
      </c>
      <c r="H175" s="15">
        <v>45617</v>
      </c>
      <c r="I175" s="16">
        <v>15.84</v>
      </c>
      <c r="J175" s="15"/>
      <c r="K175" s="16"/>
      <c r="L175" s="15"/>
      <c r="M175" s="63"/>
      <c r="N175" s="17"/>
      <c r="O175" s="16"/>
      <c r="P175" s="16"/>
      <c r="Q175" s="152">
        <f t="shared" si="26"/>
        <v>0</v>
      </c>
      <c r="R175" s="152">
        <f t="shared" si="24"/>
        <v>39.119999999999997</v>
      </c>
      <c r="S175" s="152">
        <f t="shared" si="25"/>
        <v>39.119999999999997</v>
      </c>
      <c r="T175" s="18">
        <f t="shared" si="31"/>
        <v>54.959999999999994</v>
      </c>
    </row>
    <row r="176" spans="2:20" x14ac:dyDescent="0.25">
      <c r="B176" s="117" t="s">
        <v>623</v>
      </c>
      <c r="C176" s="136" t="s">
        <v>239</v>
      </c>
      <c r="D176" s="14" t="s">
        <v>15</v>
      </c>
      <c r="E176" s="14" t="s">
        <v>16</v>
      </c>
      <c r="F176" s="15">
        <v>45387</v>
      </c>
      <c r="G176" s="16">
        <v>0.4</v>
      </c>
      <c r="H176" s="15">
        <v>45321</v>
      </c>
      <c r="I176" s="16">
        <v>0.5</v>
      </c>
      <c r="J176" s="15">
        <v>45600</v>
      </c>
      <c r="K176" s="16">
        <v>0.5</v>
      </c>
      <c r="L176" s="15"/>
      <c r="M176" s="63"/>
      <c r="N176" s="17"/>
      <c r="O176" s="16"/>
      <c r="P176" s="16"/>
      <c r="Q176" s="152">
        <f>IF(F176&lt;=Exp24Q1,G176,0)+IF(H176&lt;=Exp24Q1,I176,0)+IF(J176&lt;=Exp24Q1,K176,0)+IF(L176&lt;=Exp24Q1,M176,0)+IF(N176&lt;=Exp24Q1,O176,0)</f>
        <v>0.5</v>
      </c>
      <c r="R176" s="152">
        <f>IF(F176&lt;=Exp24H1,G176,0)+IF(H176&lt;=Exp24H1,I176,0)+IF(J176&lt;=Exp24H1,K176,0)+IF(L176&lt;=Exp24H1,M176,0)+IF(N176&lt;=Exp24H1,O176,0)</f>
        <v>0.9</v>
      </c>
      <c r="S176" s="152">
        <f>IF(F176&lt;=Exp24Q3,G176,0)+IF(H176&lt;=Exp24Q3,I176,0)+IF(J176&lt;=Exp24Q3,K176,0)+IF(L176&lt;=Exp24Q3,M176,0)+IF(N176&lt;=Exp24Q3,O176,0)</f>
        <v>0.9</v>
      </c>
      <c r="T176" s="18">
        <f>G176+I176+K176+M176+O176</f>
        <v>1.4</v>
      </c>
    </row>
    <row r="177" spans="2:20" x14ac:dyDescent="0.25">
      <c r="B177" s="117" t="s">
        <v>339</v>
      </c>
      <c r="C177" s="136" t="s">
        <v>340</v>
      </c>
      <c r="D177" s="14" t="s">
        <v>15</v>
      </c>
      <c r="E177" s="14" t="s">
        <v>16</v>
      </c>
      <c r="F177" s="15">
        <v>45379</v>
      </c>
      <c r="G177" s="16">
        <v>0.6</v>
      </c>
      <c r="H177" s="15">
        <v>45566</v>
      </c>
      <c r="I177" s="16">
        <v>0.6</v>
      </c>
      <c r="J177" s="15"/>
      <c r="K177" s="16"/>
      <c r="L177" s="15"/>
      <c r="M177" s="63"/>
      <c r="N177" s="17"/>
      <c r="O177" s="16"/>
      <c r="P177" s="41"/>
      <c r="Q177" s="152">
        <f t="shared" si="26"/>
        <v>0</v>
      </c>
      <c r="R177" s="152">
        <f t="shared" si="24"/>
        <v>0.6</v>
      </c>
      <c r="S177" s="152">
        <f t="shared" si="25"/>
        <v>0.6</v>
      </c>
      <c r="T177" s="18">
        <f t="shared" si="31"/>
        <v>1.2</v>
      </c>
    </row>
    <row r="178" spans="2:20" x14ac:dyDescent="0.25">
      <c r="B178" s="117" t="s">
        <v>341</v>
      </c>
      <c r="C178" s="136" t="s">
        <v>342</v>
      </c>
      <c r="D178" s="14" t="s">
        <v>15</v>
      </c>
      <c r="E178" s="14" t="s">
        <v>21</v>
      </c>
      <c r="F178" s="15">
        <v>45404</v>
      </c>
      <c r="G178" s="16">
        <v>3</v>
      </c>
      <c r="H178" s="15"/>
      <c r="I178" s="16"/>
      <c r="J178" s="15"/>
      <c r="K178" s="16"/>
      <c r="L178" s="15"/>
      <c r="M178" s="63"/>
      <c r="N178" s="17"/>
      <c r="O178" s="16"/>
      <c r="P178" s="16"/>
      <c r="Q178" s="152">
        <f t="shared" si="26"/>
        <v>0</v>
      </c>
      <c r="R178" s="152">
        <f t="shared" si="24"/>
        <v>3</v>
      </c>
      <c r="S178" s="152">
        <f t="shared" si="25"/>
        <v>3</v>
      </c>
      <c r="T178" s="18">
        <f t="shared" si="31"/>
        <v>3</v>
      </c>
    </row>
    <row r="179" spans="2:20" x14ac:dyDescent="0.25">
      <c r="B179" s="117" t="s">
        <v>773</v>
      </c>
      <c r="C179" s="136" t="s">
        <v>774</v>
      </c>
      <c r="D179" s="45" t="s">
        <v>24</v>
      </c>
      <c r="E179" s="45" t="s">
        <v>16</v>
      </c>
      <c r="F179" s="15">
        <v>45433</v>
      </c>
      <c r="G179" s="16">
        <v>2.2999999999999998</v>
      </c>
      <c r="H179" s="15"/>
      <c r="I179" s="16"/>
      <c r="J179" s="15"/>
      <c r="K179" s="16"/>
      <c r="L179" s="15"/>
      <c r="M179" s="63"/>
      <c r="N179" s="17"/>
      <c r="O179" s="16"/>
      <c r="P179" s="16"/>
      <c r="Q179" s="152">
        <f>IF(F179&lt;=Exp24Q1,G179,0)+IF(H179&lt;=Exp24Q1,I179,0)+IF(J179&lt;=Exp24Q1,K179,0)+IF(L179&lt;=Exp24Q1,M179,0)+IF(N179&lt;=Exp24Q1,O179,0)</f>
        <v>0</v>
      </c>
      <c r="R179" s="152">
        <f>IF(F179&lt;=Exp24H1,G179,0)+IF(H179&lt;=Exp24H1,I179,0)+IF(J179&lt;=Exp24H1,K179,0)+IF(L179&lt;=Exp24H1,M179,0)+IF(N179&lt;=Exp24H1,O179,0)</f>
        <v>2.2999999999999998</v>
      </c>
      <c r="S179" s="152">
        <f>IF(F179&lt;=Exp24Q3,G179,0)+IF(H179&lt;=Exp24Q3,I179,0)+IF(J179&lt;=Exp24Q3,K179,0)+IF(L179&lt;=Exp24Q3,M179,0)+IF(N179&lt;=Exp24Q3,O179,0)</f>
        <v>2.2999999999999998</v>
      </c>
      <c r="T179" s="18">
        <f>G179+I179+K179+M179+O179</f>
        <v>2.2999999999999998</v>
      </c>
    </row>
    <row r="180" spans="2:20" x14ac:dyDescent="0.25">
      <c r="B180" s="117" t="s">
        <v>343</v>
      </c>
      <c r="C180" s="136" t="s">
        <v>344</v>
      </c>
      <c r="D180" s="14" t="s">
        <v>15</v>
      </c>
      <c r="E180" s="14" t="s">
        <v>16</v>
      </c>
      <c r="F180" s="15">
        <v>45440</v>
      </c>
      <c r="G180" s="16">
        <v>2.08</v>
      </c>
      <c r="H180" s="15">
        <v>45523</v>
      </c>
      <c r="I180" s="16">
        <v>1.25</v>
      </c>
      <c r="J180" s="15"/>
      <c r="K180" s="16"/>
      <c r="L180" s="15"/>
      <c r="M180" s="63"/>
      <c r="N180" s="17"/>
      <c r="O180" s="16"/>
      <c r="P180" s="16"/>
      <c r="Q180" s="152">
        <f t="shared" si="26"/>
        <v>0</v>
      </c>
      <c r="R180" s="152">
        <f t="shared" si="24"/>
        <v>2.08</v>
      </c>
      <c r="S180" s="152">
        <f t="shared" si="25"/>
        <v>3.33</v>
      </c>
      <c r="T180" s="18">
        <f t="shared" si="31"/>
        <v>3.33</v>
      </c>
    </row>
    <row r="181" spans="2:20" x14ac:dyDescent="0.25">
      <c r="B181" s="117" t="s">
        <v>345</v>
      </c>
      <c r="C181" s="136" t="s">
        <v>346</v>
      </c>
      <c r="D181" s="14" t="s">
        <v>15</v>
      </c>
      <c r="E181" s="14" t="s">
        <v>16</v>
      </c>
      <c r="F181" s="15">
        <v>45320</v>
      </c>
      <c r="G181" s="16">
        <v>0.03</v>
      </c>
      <c r="H181" s="15">
        <v>45404</v>
      </c>
      <c r="I181" s="16">
        <v>0.04</v>
      </c>
      <c r="J181" s="15">
        <v>45495</v>
      </c>
      <c r="K181" s="16">
        <v>0.03</v>
      </c>
      <c r="L181" s="15">
        <v>45586</v>
      </c>
      <c r="M181" s="63">
        <v>0.03</v>
      </c>
      <c r="N181" s="17"/>
      <c r="O181" s="16"/>
      <c r="P181" s="47"/>
      <c r="Q181" s="152">
        <f t="shared" si="26"/>
        <v>0.03</v>
      </c>
      <c r="R181" s="152">
        <f t="shared" si="24"/>
        <v>7.0000000000000007E-2</v>
      </c>
      <c r="S181" s="152">
        <f t="shared" si="25"/>
        <v>0.1</v>
      </c>
      <c r="T181" s="18">
        <f t="shared" si="31"/>
        <v>0.13</v>
      </c>
    </row>
    <row r="182" spans="2:20" x14ac:dyDescent="0.25">
      <c r="B182" s="117" t="s">
        <v>756</v>
      </c>
      <c r="C182" s="136" t="s">
        <v>757</v>
      </c>
      <c r="D182" s="14" t="s">
        <v>15</v>
      </c>
      <c r="E182" s="14" t="s">
        <v>16</v>
      </c>
      <c r="F182" s="15">
        <v>45413</v>
      </c>
      <c r="G182" s="16">
        <v>0.35</v>
      </c>
      <c r="H182" s="15">
        <v>45595</v>
      </c>
      <c r="I182" s="16">
        <v>0.2</v>
      </c>
      <c r="J182" s="15"/>
      <c r="K182" s="16"/>
      <c r="L182" s="15"/>
      <c r="M182" s="63"/>
      <c r="N182" s="17"/>
      <c r="O182" s="16"/>
      <c r="P182" s="47"/>
      <c r="Q182" s="152">
        <f t="shared" si="26"/>
        <v>0</v>
      </c>
      <c r="R182" s="152">
        <f t="shared" si="24"/>
        <v>0.35</v>
      </c>
      <c r="S182" s="152">
        <f t="shared" si="25"/>
        <v>0.35</v>
      </c>
      <c r="T182" s="18">
        <f t="shared" si="31"/>
        <v>0.55000000000000004</v>
      </c>
    </row>
    <row r="183" spans="2:20" x14ac:dyDescent="0.25">
      <c r="B183" s="117" t="s">
        <v>347</v>
      </c>
      <c r="C183" s="136" t="s">
        <v>348</v>
      </c>
      <c r="D183" s="14" t="s">
        <v>15</v>
      </c>
      <c r="E183" s="14" t="s">
        <v>16</v>
      </c>
      <c r="F183" s="15">
        <v>45373</v>
      </c>
      <c r="G183" s="16">
        <v>0.92</v>
      </c>
      <c r="H183" s="15"/>
      <c r="I183" s="16"/>
      <c r="J183" s="15"/>
      <c r="K183" s="16"/>
      <c r="L183" s="15"/>
      <c r="M183" s="63"/>
      <c r="N183" s="17"/>
      <c r="O183" s="16"/>
      <c r="P183" s="47"/>
      <c r="Q183" s="152">
        <f t="shared" si="26"/>
        <v>0</v>
      </c>
      <c r="R183" s="152">
        <f t="shared" si="24"/>
        <v>0.92</v>
      </c>
      <c r="S183" s="152">
        <f t="shared" si="25"/>
        <v>0.92</v>
      </c>
      <c r="T183" s="18">
        <f t="shared" si="31"/>
        <v>0.92</v>
      </c>
    </row>
    <row r="184" spans="2:20" x14ac:dyDescent="0.25">
      <c r="B184" s="117" t="s">
        <v>753</v>
      </c>
      <c r="C184" s="136" t="s">
        <v>754</v>
      </c>
      <c r="D184" s="14" t="s">
        <v>755</v>
      </c>
      <c r="E184" s="14" t="s">
        <v>475</v>
      </c>
      <c r="F184" s="15">
        <v>45420</v>
      </c>
      <c r="G184" s="16">
        <v>2.5</v>
      </c>
      <c r="H184" s="15"/>
      <c r="I184" s="16"/>
      <c r="J184" s="15"/>
      <c r="K184" s="16"/>
      <c r="L184" s="15"/>
      <c r="M184" s="63"/>
      <c r="N184" s="17"/>
      <c r="O184" s="16"/>
      <c r="P184" s="47"/>
      <c r="Q184" s="152">
        <f t="shared" si="26"/>
        <v>0</v>
      </c>
      <c r="R184" s="152">
        <f t="shared" si="24"/>
        <v>2.5</v>
      </c>
      <c r="S184" s="152">
        <f t="shared" si="25"/>
        <v>2.5</v>
      </c>
      <c r="T184" s="18">
        <f t="shared" si="31"/>
        <v>2.5</v>
      </c>
    </row>
    <row r="185" spans="2:20" x14ac:dyDescent="0.25">
      <c r="B185" s="117" t="s">
        <v>696</v>
      </c>
      <c r="C185" s="136" t="s">
        <v>350</v>
      </c>
      <c r="D185" s="14" t="s">
        <v>15</v>
      </c>
      <c r="E185" s="14" t="s">
        <v>21</v>
      </c>
      <c r="F185" s="15">
        <v>45358</v>
      </c>
      <c r="G185" s="16">
        <v>3.3</v>
      </c>
      <c r="H185" s="15"/>
      <c r="I185" s="16"/>
      <c r="J185" s="15"/>
      <c r="K185" s="16"/>
      <c r="L185" s="15"/>
      <c r="M185" s="63"/>
      <c r="N185" s="17"/>
      <c r="O185" s="16"/>
      <c r="P185" s="16"/>
      <c r="Q185" s="152">
        <f t="shared" si="26"/>
        <v>3.3</v>
      </c>
      <c r="R185" s="152">
        <f t="shared" si="24"/>
        <v>3.3</v>
      </c>
      <c r="S185" s="152">
        <f t="shared" si="25"/>
        <v>3.3</v>
      </c>
      <c r="T185" s="18">
        <f t="shared" si="31"/>
        <v>3.3</v>
      </c>
    </row>
    <row r="186" spans="2:20" x14ac:dyDescent="0.25">
      <c r="B186" s="117" t="s">
        <v>734</v>
      </c>
      <c r="C186" s="136" t="s">
        <v>735</v>
      </c>
      <c r="D186" s="14" t="s">
        <v>15</v>
      </c>
      <c r="E186" s="14" t="s">
        <v>16</v>
      </c>
      <c r="F186" s="147">
        <v>45448</v>
      </c>
      <c r="G186" s="148">
        <f>2.95*0.95020157</f>
        <v>2.8030946315000005</v>
      </c>
      <c r="H186" s="15"/>
      <c r="I186" s="16"/>
      <c r="J186" s="15"/>
      <c r="K186" s="16"/>
      <c r="L186" s="15"/>
      <c r="M186" s="63"/>
      <c r="N186" s="17"/>
      <c r="O186" s="16"/>
      <c r="P186" s="16"/>
      <c r="Q186" s="152">
        <f t="shared" si="26"/>
        <v>0</v>
      </c>
      <c r="R186" s="152">
        <f t="shared" si="24"/>
        <v>2.8030946315000005</v>
      </c>
      <c r="S186" s="152">
        <f t="shared" si="25"/>
        <v>2.8030946315000005</v>
      </c>
      <c r="T186" s="18">
        <f t="shared" si="31"/>
        <v>2.8030946315000005</v>
      </c>
    </row>
    <row r="187" spans="2:20" x14ac:dyDescent="0.25">
      <c r="B187" s="117" t="s">
        <v>353</v>
      </c>
      <c r="C187" s="136" t="s">
        <v>354</v>
      </c>
      <c r="D187" s="14" t="s">
        <v>24</v>
      </c>
      <c r="E187" s="14" t="s">
        <v>16</v>
      </c>
      <c r="F187" s="15">
        <v>45447</v>
      </c>
      <c r="G187" s="16">
        <v>0.42</v>
      </c>
      <c r="H187" s="15">
        <v>45629</v>
      </c>
      <c r="I187" s="16">
        <v>0.3</v>
      </c>
      <c r="J187" s="15"/>
      <c r="K187" s="16"/>
      <c r="L187" s="15"/>
      <c r="M187" s="63"/>
      <c r="N187" s="17"/>
      <c r="O187" s="16"/>
      <c r="P187" s="16"/>
      <c r="Q187" s="152">
        <f t="shared" si="26"/>
        <v>0</v>
      </c>
      <c r="R187" s="152">
        <f t="shared" si="24"/>
        <v>0.42</v>
      </c>
      <c r="S187" s="152">
        <f t="shared" si="25"/>
        <v>0.42</v>
      </c>
      <c r="T187" s="18">
        <f t="shared" si="31"/>
        <v>0.72</v>
      </c>
    </row>
    <row r="188" spans="2:20" x14ac:dyDescent="0.25">
      <c r="B188" s="117" t="s">
        <v>918</v>
      </c>
      <c r="C188" s="136" t="s">
        <v>352</v>
      </c>
      <c r="D188" s="14" t="s">
        <v>755</v>
      </c>
      <c r="E188" s="14" t="s">
        <v>475</v>
      </c>
      <c r="F188" s="147">
        <v>45401</v>
      </c>
      <c r="G188" s="148">
        <f>3*0.96052632</f>
        <v>2.8815789600000001</v>
      </c>
      <c r="H188" s="15"/>
      <c r="I188" s="16"/>
      <c r="J188" s="15"/>
      <c r="K188" s="16"/>
      <c r="L188" s="15"/>
      <c r="M188" s="63"/>
      <c r="N188" s="17"/>
      <c r="O188" s="16"/>
      <c r="P188" s="16"/>
      <c r="Q188" s="152">
        <f t="shared" si="26"/>
        <v>0</v>
      </c>
      <c r="R188" s="152">
        <f t="shared" si="24"/>
        <v>2.8815789600000001</v>
      </c>
      <c r="S188" s="152">
        <f t="shared" si="25"/>
        <v>2.8815789600000001</v>
      </c>
      <c r="T188" s="18">
        <f t="shared" si="31"/>
        <v>2.8815789600000001</v>
      </c>
    </row>
    <row r="189" spans="2:20" x14ac:dyDescent="0.25">
      <c r="B189" s="117" t="s">
        <v>881</v>
      </c>
      <c r="C189" s="136" t="s">
        <v>882</v>
      </c>
      <c r="D189" s="14" t="s">
        <v>15</v>
      </c>
      <c r="E189" s="14" t="s">
        <v>21</v>
      </c>
      <c r="F189" s="15">
        <v>45436</v>
      </c>
      <c r="G189" s="16">
        <v>39</v>
      </c>
      <c r="H189" s="15"/>
      <c r="I189" s="16"/>
      <c r="J189" s="15"/>
      <c r="K189" s="16"/>
      <c r="L189" s="15"/>
      <c r="M189" s="63"/>
      <c r="N189" s="17"/>
      <c r="O189" s="16"/>
      <c r="P189" s="16"/>
      <c r="Q189" s="152">
        <f t="shared" si="26"/>
        <v>0</v>
      </c>
      <c r="R189" s="152">
        <f t="shared" si="24"/>
        <v>39</v>
      </c>
      <c r="S189" s="152">
        <f t="shared" si="25"/>
        <v>39</v>
      </c>
      <c r="T189" s="18">
        <f t="shared" si="31"/>
        <v>39</v>
      </c>
    </row>
    <row r="190" spans="2:20" x14ac:dyDescent="0.25">
      <c r="B190" s="117" t="s">
        <v>357</v>
      </c>
      <c r="C190" s="136" t="s">
        <v>358</v>
      </c>
      <c r="D190" s="14" t="s">
        <v>15</v>
      </c>
      <c r="E190" s="14" t="s">
        <v>761</v>
      </c>
      <c r="F190" s="15">
        <v>45372</v>
      </c>
      <c r="G190" s="16">
        <v>15.7</v>
      </c>
      <c r="H190" s="15">
        <v>45512</v>
      </c>
      <c r="I190" s="16">
        <v>7.4</v>
      </c>
      <c r="J190" s="15"/>
      <c r="K190" s="16"/>
      <c r="L190" s="15"/>
      <c r="M190" s="63"/>
      <c r="N190" s="17"/>
      <c r="O190" s="16"/>
      <c r="P190" s="16"/>
      <c r="Q190" s="152">
        <f t="shared" si="26"/>
        <v>0</v>
      </c>
      <c r="R190" s="152">
        <f t="shared" si="24"/>
        <v>15.7</v>
      </c>
      <c r="S190" s="152">
        <f t="shared" si="25"/>
        <v>23.1</v>
      </c>
      <c r="T190" s="18">
        <f t="shared" si="31"/>
        <v>23.1</v>
      </c>
    </row>
    <row r="191" spans="2:20" x14ac:dyDescent="0.25">
      <c r="B191" s="117" t="s">
        <v>359</v>
      </c>
      <c r="C191" s="136" t="s">
        <v>360</v>
      </c>
      <c r="D191" s="14" t="s">
        <v>24</v>
      </c>
      <c r="E191" s="14" t="s">
        <v>16</v>
      </c>
      <c r="F191" s="15">
        <v>45490</v>
      </c>
      <c r="G191" s="16">
        <v>2.35</v>
      </c>
      <c r="H191" s="15">
        <v>45621</v>
      </c>
      <c r="I191" s="16">
        <v>2.35</v>
      </c>
      <c r="J191" s="15"/>
      <c r="K191" s="16"/>
      <c r="L191" s="15"/>
      <c r="M191" s="63"/>
      <c r="N191" s="17"/>
      <c r="O191" s="16"/>
      <c r="P191" s="16"/>
      <c r="Q191" s="152">
        <f t="shared" si="26"/>
        <v>0</v>
      </c>
      <c r="R191" s="152">
        <f t="shared" si="24"/>
        <v>0</v>
      </c>
      <c r="S191" s="152">
        <f t="shared" si="25"/>
        <v>2.35</v>
      </c>
      <c r="T191" s="18">
        <f t="shared" si="31"/>
        <v>4.7</v>
      </c>
    </row>
    <row r="192" spans="2:20" x14ac:dyDescent="0.25">
      <c r="B192" s="117" t="s">
        <v>366</v>
      </c>
      <c r="C192" s="136" t="s">
        <v>367</v>
      </c>
      <c r="D192" s="14" t="s">
        <v>15</v>
      </c>
      <c r="E192" s="14" t="s">
        <v>16</v>
      </c>
      <c r="F192" s="15">
        <v>45421</v>
      </c>
      <c r="G192" s="16">
        <v>0.85</v>
      </c>
      <c r="H192" s="15"/>
      <c r="I192" s="16"/>
      <c r="J192" s="15"/>
      <c r="K192" s="16"/>
      <c r="L192" s="15"/>
      <c r="M192" s="63"/>
      <c r="N192" s="17"/>
      <c r="O192" s="16"/>
      <c r="P192" s="16"/>
      <c r="Q192" s="152">
        <f t="shared" si="26"/>
        <v>0</v>
      </c>
      <c r="R192" s="152">
        <f t="shared" si="24"/>
        <v>0.85</v>
      </c>
      <c r="S192" s="152">
        <f t="shared" si="25"/>
        <v>0.85</v>
      </c>
      <c r="T192" s="18">
        <f t="shared" si="31"/>
        <v>0.85</v>
      </c>
    </row>
    <row r="193" spans="2:20" x14ac:dyDescent="0.25">
      <c r="B193" s="117" t="s">
        <v>951</v>
      </c>
      <c r="C193" s="136" t="s">
        <v>952</v>
      </c>
      <c r="D193" s="14" t="s">
        <v>941</v>
      </c>
      <c r="E193" s="14" t="s">
        <v>16</v>
      </c>
      <c r="F193" s="15">
        <v>45467</v>
      </c>
      <c r="G193" s="16">
        <v>0.56299999999999994</v>
      </c>
      <c r="H193" s="15">
        <v>45614</v>
      </c>
      <c r="I193" s="16">
        <v>0.33</v>
      </c>
      <c r="J193" s="15"/>
      <c r="K193" s="16"/>
      <c r="L193" s="15"/>
      <c r="M193" s="63"/>
      <c r="N193" s="17"/>
      <c r="O193" s="16"/>
      <c r="P193" s="16"/>
      <c r="Q193" s="152">
        <f t="shared" ref="Q193" si="32">IF(F193&lt;=Exp24Q1,G193,0)+IF(H193&lt;=Exp24Q1,I193,0)+IF(J193&lt;=Exp24Q1,K193,0)+IF(L193&lt;=Exp24Q1,M193,0)+IF(N193&lt;=Exp24Q1,O193,0)</f>
        <v>0</v>
      </c>
      <c r="R193" s="152">
        <f t="shared" ref="R193" si="33">IF(F193&lt;=Exp24H1,G193,0)+IF(H193&lt;=Exp24H1,I193,0)+IF(J193&lt;=Exp24H1,K193,0)+IF(L193&lt;=Exp24H1,M193,0)+IF(N193&lt;=Exp24H1,O193,0)</f>
        <v>0</v>
      </c>
      <c r="S193" s="152">
        <f t="shared" ref="S193" si="34">IF(F193&lt;=Exp24Q3,G193,0)+IF(H193&lt;=Exp24Q3,I193,0)+IF(J193&lt;=Exp24Q3,K193,0)+IF(L193&lt;=Exp24Q3,M193,0)+IF(N193&lt;=Exp24Q3,O193,0)</f>
        <v>0.56299999999999994</v>
      </c>
      <c r="T193" s="18">
        <f t="shared" ref="T193" si="35">G193+I193+K193+M193+O193</f>
        <v>0.89300000000000002</v>
      </c>
    </row>
    <row r="194" spans="2:20" x14ac:dyDescent="0.25">
      <c r="B194" s="117" t="s">
        <v>890</v>
      </c>
      <c r="C194" s="136" t="s">
        <v>891</v>
      </c>
      <c r="D194" s="14" t="s">
        <v>15</v>
      </c>
      <c r="E194" s="14" t="s">
        <v>16</v>
      </c>
      <c r="F194" s="15">
        <v>45400</v>
      </c>
      <c r="G194" s="16">
        <v>0.03</v>
      </c>
      <c r="H194" s="15">
        <v>45511</v>
      </c>
      <c r="I194" s="16">
        <v>0.03</v>
      </c>
      <c r="J194" s="15"/>
      <c r="K194" s="16"/>
      <c r="L194" s="15"/>
      <c r="M194" s="63"/>
      <c r="N194" s="17"/>
      <c r="O194" s="16"/>
      <c r="P194" s="16"/>
      <c r="Q194" s="152">
        <f t="shared" si="26"/>
        <v>0</v>
      </c>
      <c r="R194" s="152">
        <f t="shared" si="24"/>
        <v>0.03</v>
      </c>
      <c r="S194" s="152">
        <f t="shared" si="25"/>
        <v>0.06</v>
      </c>
      <c r="T194" s="18">
        <f t="shared" si="31"/>
        <v>0.06</v>
      </c>
    </row>
    <row r="195" spans="2:20" x14ac:dyDescent="0.25">
      <c r="B195" s="117" t="s">
        <v>758</v>
      </c>
      <c r="C195" s="136" t="s">
        <v>759</v>
      </c>
      <c r="D195" s="14" t="s">
        <v>15</v>
      </c>
      <c r="E195" s="14" t="s">
        <v>16</v>
      </c>
      <c r="F195" s="15">
        <v>45414</v>
      </c>
      <c r="G195" s="16">
        <v>0.05</v>
      </c>
      <c r="H195" s="15"/>
      <c r="I195" s="16"/>
      <c r="J195" s="15"/>
      <c r="K195" s="16"/>
      <c r="L195" s="15"/>
      <c r="M195" s="63"/>
      <c r="N195" s="17"/>
      <c r="O195" s="16"/>
      <c r="P195" s="16"/>
      <c r="Q195" s="152">
        <f>IF(F195&lt;=Exp24Q1,G195,0)+IF(H195&lt;=Exp24Q1,I195,0)+IF(J195&lt;=Exp24Q1,K195,0)+IF(L195&lt;=Exp24Q1,M195,0)+IF(N195&lt;=Exp24Q1,O195,0)</f>
        <v>0</v>
      </c>
      <c r="R195" s="152">
        <f>IF(F195&lt;=Exp24H1,G195,0)+IF(H195&lt;=Exp24H1,I195,0)+IF(J195&lt;=Exp24H1,K195,0)+IF(L195&lt;=Exp24H1,M195,0)+IF(N195&lt;=Exp24H1,O195,0)</f>
        <v>0.05</v>
      </c>
      <c r="S195" s="152">
        <f>IF(F195&lt;=Exp24Q3,G195,0)+IF(H195&lt;=Exp24Q3,I195,0)+IF(J195&lt;=Exp24Q3,K195,0)+IF(L195&lt;=Exp24Q3,M195,0)+IF(N195&lt;=Exp24Q3,O195,0)</f>
        <v>0.05</v>
      </c>
      <c r="T195" s="18">
        <f>G195+I195+K195+M195+O195</f>
        <v>0.05</v>
      </c>
    </row>
    <row r="196" spans="2:20" x14ac:dyDescent="0.25">
      <c r="B196" s="117" t="s">
        <v>368</v>
      </c>
      <c r="C196" s="136" t="s">
        <v>369</v>
      </c>
      <c r="D196" s="14" t="s">
        <v>27</v>
      </c>
      <c r="E196" s="14" t="s">
        <v>16</v>
      </c>
      <c r="F196" s="15">
        <v>45406</v>
      </c>
      <c r="G196" s="16">
        <v>0.7</v>
      </c>
      <c r="H196" s="15">
        <v>45630</v>
      </c>
      <c r="I196" s="16">
        <v>0.5</v>
      </c>
      <c r="J196" s="15"/>
      <c r="K196" s="16"/>
      <c r="L196" s="15"/>
      <c r="M196" s="63"/>
      <c r="N196" s="17"/>
      <c r="O196" s="16"/>
      <c r="P196" s="16"/>
      <c r="Q196" s="152">
        <f>IF(F196&lt;=Exp24Q1,G196,0)+IF(H196&lt;=Exp24Q1,I196,0)+IF(J196&lt;=Exp24Q1,K196,0)+IF(L196&lt;=Exp24Q1,M196,0)+IF(N196&lt;=Exp24Q1,O196,0)</f>
        <v>0</v>
      </c>
      <c r="R196" s="152">
        <f>IF(F196&lt;=Exp24H1,G196,0)+IF(H196&lt;=Exp24H1,I196,0)+IF(J196&lt;=Exp24H1,K196,0)+IF(L196&lt;=Exp24H1,M196,0)+IF(N196&lt;=Exp24H1,O196,0)</f>
        <v>0.7</v>
      </c>
      <c r="S196" s="152">
        <f>IF(F196&lt;=Exp24Q3,G196,0)+IF(H196&lt;=Exp24Q3,I196,0)+IF(J196&lt;=Exp24Q3,K196,0)+IF(L196&lt;=Exp24Q3,M196,0)+IF(N196&lt;=Exp24Q3,O196,0)</f>
        <v>0.7</v>
      </c>
      <c r="T196" s="18">
        <f>G196+I196+K196+M196+O196</f>
        <v>1.2</v>
      </c>
    </row>
    <row r="197" spans="2:20" x14ac:dyDescent="0.25">
      <c r="B197" s="117" t="s">
        <v>370</v>
      </c>
      <c r="C197" s="136" t="s">
        <v>721</v>
      </c>
      <c r="D197" s="14" t="s">
        <v>15</v>
      </c>
      <c r="E197" s="14" t="s">
        <v>56</v>
      </c>
      <c r="F197" s="15">
        <v>45379</v>
      </c>
      <c r="G197" s="16">
        <v>0.1421</v>
      </c>
      <c r="H197" s="15">
        <v>45540</v>
      </c>
      <c r="I197" s="16">
        <v>6.8400000000000002E-2</v>
      </c>
      <c r="J197" s="15"/>
      <c r="K197" s="16"/>
      <c r="L197" s="15"/>
      <c r="M197" s="63"/>
      <c r="N197" s="17"/>
      <c r="O197" s="16"/>
      <c r="P197" s="16"/>
      <c r="Q197" s="152">
        <f t="shared" si="26"/>
        <v>0</v>
      </c>
      <c r="R197" s="152">
        <f t="shared" si="24"/>
        <v>0.1421</v>
      </c>
      <c r="S197" s="152">
        <f t="shared" si="25"/>
        <v>0.21050000000000002</v>
      </c>
      <c r="T197" s="18">
        <f t="shared" si="31"/>
        <v>0.21050000000000002</v>
      </c>
    </row>
    <row r="198" spans="2:20" x14ac:dyDescent="0.25">
      <c r="B198" s="117" t="s">
        <v>372</v>
      </c>
      <c r="C198" s="136" t="s">
        <v>373</v>
      </c>
      <c r="D198" s="14" t="s">
        <v>24</v>
      </c>
      <c r="E198" s="14" t="s">
        <v>16</v>
      </c>
      <c r="F198" s="15">
        <v>45474</v>
      </c>
      <c r="G198" s="16">
        <v>3.4</v>
      </c>
      <c r="H198" s="15"/>
      <c r="I198" s="16"/>
      <c r="J198" s="15"/>
      <c r="K198" s="16"/>
      <c r="L198" s="15"/>
      <c r="M198" s="63"/>
      <c r="N198" s="17"/>
      <c r="O198" s="16"/>
      <c r="P198" s="16"/>
      <c r="Q198" s="152">
        <f t="shared" si="26"/>
        <v>0</v>
      </c>
      <c r="R198" s="152">
        <f t="shared" si="24"/>
        <v>0</v>
      </c>
      <c r="S198" s="152">
        <f t="shared" si="25"/>
        <v>3.4</v>
      </c>
      <c r="T198" s="18">
        <f t="shared" si="31"/>
        <v>3.4</v>
      </c>
    </row>
    <row r="199" spans="2:20" x14ac:dyDescent="0.25">
      <c r="B199" s="117" t="s">
        <v>681</v>
      </c>
      <c r="C199" s="136" t="s">
        <v>682</v>
      </c>
      <c r="D199" s="14" t="s">
        <v>15</v>
      </c>
      <c r="E199" s="14" t="s">
        <v>16</v>
      </c>
      <c r="F199" s="15">
        <v>45391</v>
      </c>
      <c r="G199" s="16">
        <v>1.25</v>
      </c>
      <c r="H199" s="15"/>
      <c r="I199" s="16"/>
      <c r="J199" s="15"/>
      <c r="K199" s="16"/>
      <c r="L199" s="15"/>
      <c r="M199" s="63"/>
      <c r="N199" s="17"/>
      <c r="O199" s="16"/>
      <c r="P199" s="16"/>
      <c r="Q199" s="152">
        <f t="shared" si="26"/>
        <v>0</v>
      </c>
      <c r="R199" s="152">
        <f t="shared" si="24"/>
        <v>1.25</v>
      </c>
      <c r="S199" s="152">
        <f t="shared" si="25"/>
        <v>1.25</v>
      </c>
      <c r="T199" s="18">
        <f t="shared" si="31"/>
        <v>1.25</v>
      </c>
    </row>
    <row r="200" spans="2:20" x14ac:dyDescent="0.25">
      <c r="B200" s="117" t="s">
        <v>620</v>
      </c>
      <c r="C200" s="136" t="s">
        <v>375</v>
      </c>
      <c r="D200" s="14" t="s">
        <v>15</v>
      </c>
      <c r="E200" s="14" t="s">
        <v>16</v>
      </c>
      <c r="F200" s="147">
        <v>45379</v>
      </c>
      <c r="G200" s="148">
        <f>2.28*0.97018779</f>
        <v>2.2120281611999997</v>
      </c>
      <c r="H200" s="15"/>
      <c r="I200" s="16"/>
      <c r="J200" s="15"/>
      <c r="K200" s="16"/>
      <c r="L200" s="15"/>
      <c r="M200" s="63"/>
      <c r="N200" s="17"/>
      <c r="O200" s="16"/>
      <c r="P200" s="16"/>
      <c r="Q200" s="152">
        <f t="shared" si="26"/>
        <v>0</v>
      </c>
      <c r="R200" s="152">
        <f t="shared" si="24"/>
        <v>2.2120281611999997</v>
      </c>
      <c r="S200" s="152">
        <f t="shared" si="25"/>
        <v>2.2120281611999997</v>
      </c>
      <c r="T200" s="18">
        <f t="shared" si="31"/>
        <v>2.2120281611999997</v>
      </c>
    </row>
    <row r="201" spans="2:20" x14ac:dyDescent="0.25">
      <c r="B201" s="117" t="s">
        <v>376</v>
      </c>
      <c r="C201" s="136" t="s">
        <v>377</v>
      </c>
      <c r="D201" s="14" t="s">
        <v>15</v>
      </c>
      <c r="E201" s="14" t="s">
        <v>761</v>
      </c>
      <c r="F201" s="15">
        <v>45393</v>
      </c>
      <c r="G201" s="16">
        <v>115.9</v>
      </c>
      <c r="H201" s="15">
        <v>45505</v>
      </c>
      <c r="I201" s="16">
        <v>80.400000000000006</v>
      </c>
      <c r="J201" s="15"/>
      <c r="K201" s="16"/>
      <c r="L201" s="15"/>
      <c r="M201" s="63"/>
      <c r="N201" s="17"/>
      <c r="O201" s="16"/>
      <c r="P201" s="16"/>
      <c r="Q201" s="152">
        <f t="shared" si="26"/>
        <v>0</v>
      </c>
      <c r="R201" s="152">
        <f t="shared" si="24"/>
        <v>115.9</v>
      </c>
      <c r="S201" s="152">
        <f t="shared" si="25"/>
        <v>196.3</v>
      </c>
      <c r="T201" s="18">
        <f t="shared" si="31"/>
        <v>196.3</v>
      </c>
    </row>
    <row r="202" spans="2:20" x14ac:dyDescent="0.25">
      <c r="B202" s="117" t="s">
        <v>936</v>
      </c>
      <c r="C202" s="136" t="s">
        <v>379</v>
      </c>
      <c r="D202" s="14" t="s">
        <v>15</v>
      </c>
      <c r="E202" s="14" t="s">
        <v>16</v>
      </c>
      <c r="F202" s="15">
        <v>45294</v>
      </c>
      <c r="G202" s="16">
        <v>0.2727</v>
      </c>
      <c r="H202" s="15">
        <v>45470</v>
      </c>
      <c r="I202" s="16">
        <v>0.72729999999999995</v>
      </c>
      <c r="J202" s="15"/>
      <c r="K202" s="16"/>
      <c r="L202" s="15"/>
      <c r="M202" s="63"/>
      <c r="N202" s="17"/>
      <c r="O202" s="16"/>
      <c r="P202" s="16"/>
      <c r="Q202" s="152">
        <f t="shared" si="26"/>
        <v>0.2727</v>
      </c>
      <c r="R202" s="152">
        <f t="shared" si="24"/>
        <v>0.2727</v>
      </c>
      <c r="S202" s="152">
        <f t="shared" si="25"/>
        <v>1</v>
      </c>
      <c r="T202" s="18">
        <f t="shared" si="31"/>
        <v>1</v>
      </c>
    </row>
    <row r="203" spans="2:20" x14ac:dyDescent="0.25">
      <c r="B203" s="117" t="s">
        <v>382</v>
      </c>
      <c r="C203" s="136" t="s">
        <v>381</v>
      </c>
      <c r="D203" s="45" t="s">
        <v>15</v>
      </c>
      <c r="E203" s="45" t="s">
        <v>16</v>
      </c>
      <c r="F203" s="15">
        <v>45414</v>
      </c>
      <c r="G203" s="16">
        <f>41.8/0.85478/100</f>
        <v>0.48901471723718382</v>
      </c>
      <c r="H203" s="15">
        <v>45505</v>
      </c>
      <c r="I203" s="16">
        <f>18.2/0.8438/100</f>
        <v>0.21569092201943588</v>
      </c>
      <c r="J203" s="15"/>
      <c r="K203" s="16"/>
      <c r="L203" s="15"/>
      <c r="M203" s="63"/>
      <c r="N203" s="17"/>
      <c r="O203" s="16"/>
      <c r="P203" s="16"/>
      <c r="Q203" s="152">
        <f t="shared" si="26"/>
        <v>0</v>
      </c>
      <c r="R203" s="152">
        <f t="shared" si="24"/>
        <v>0.48901471723718382</v>
      </c>
      <c r="S203" s="152">
        <f t="shared" si="25"/>
        <v>0.70470563925661966</v>
      </c>
      <c r="T203" s="18">
        <f t="shared" si="31"/>
        <v>0.70470563925661966</v>
      </c>
    </row>
    <row r="204" spans="2:20" x14ac:dyDescent="0.25">
      <c r="B204" s="117" t="s">
        <v>382</v>
      </c>
      <c r="C204" s="136" t="s">
        <v>383</v>
      </c>
      <c r="D204" s="45" t="s">
        <v>15</v>
      </c>
      <c r="E204" s="14" t="s">
        <v>761</v>
      </c>
      <c r="F204" s="173">
        <v>45414</v>
      </c>
      <c r="G204" s="16">
        <v>41.8</v>
      </c>
      <c r="H204" s="15">
        <v>45505</v>
      </c>
      <c r="I204" s="16">
        <v>18.2</v>
      </c>
      <c r="J204" s="15"/>
      <c r="K204" s="16"/>
      <c r="L204" s="15"/>
      <c r="M204" s="63"/>
      <c r="N204" s="17"/>
      <c r="O204" s="16"/>
      <c r="P204" s="16"/>
      <c r="Q204" s="152">
        <f t="shared" si="26"/>
        <v>0</v>
      </c>
      <c r="R204" s="152">
        <f>IF(F205&lt;=Exp24H1,G204,0)+IF(H204&lt;=Exp24H1,I204,0)+IF(J204&lt;=Exp24H1,K204,0)+IF(L204&lt;=Exp24H1,M204,0)+IF(N204&lt;=Exp24H1,O204,0)</f>
        <v>41.8</v>
      </c>
      <c r="S204" s="152">
        <f>IF(F205&lt;=Exp24Q3,G204,0)+IF(H204&lt;=Exp24Q3,I204,0)+IF(J204&lt;=Exp24Q3,K204,0)+IF(L204&lt;=Exp24Q3,M204,0)+IF(N204&lt;=Exp24Q3,O204,0)</f>
        <v>60</v>
      </c>
      <c r="T204" s="18">
        <f t="shared" si="31"/>
        <v>60</v>
      </c>
    </row>
    <row r="205" spans="2:20" x14ac:dyDescent="0.25">
      <c r="B205" s="117" t="s">
        <v>384</v>
      </c>
      <c r="C205" s="136" t="s">
        <v>385</v>
      </c>
      <c r="D205" s="45" t="s">
        <v>24</v>
      </c>
      <c r="E205" s="14" t="s">
        <v>16</v>
      </c>
      <c r="F205" s="15">
        <v>45434</v>
      </c>
      <c r="G205" s="16">
        <v>1.85</v>
      </c>
      <c r="H205" s="15"/>
      <c r="I205" s="16"/>
      <c r="J205" s="15"/>
      <c r="K205" s="16"/>
      <c r="L205" s="15"/>
      <c r="M205" s="63"/>
      <c r="N205" s="17"/>
      <c r="O205" s="16"/>
      <c r="P205" s="16"/>
      <c r="Q205" s="152">
        <f t="shared" si="26"/>
        <v>0</v>
      </c>
      <c r="R205" s="152">
        <f>IF(F206&lt;=Exp24H1,G205,0)+IF(H205&lt;=Exp24H1,I205,0)+IF(J205&lt;=Exp24H1,K205,0)+IF(L205&lt;=Exp24H1,M205,0)+IF(N205&lt;=Exp24H1,O205,0)</f>
        <v>1.85</v>
      </c>
      <c r="S205" s="152">
        <f>IF(F206&lt;=Exp24Q3,G205,0)+IF(H205&lt;=Exp24Q3,I205,0)+IF(J205&lt;=Exp24Q3,K205,0)+IF(L205&lt;=Exp24Q3,M205,0)+IF(N205&lt;=Exp24Q3,O205,0)</f>
        <v>1.85</v>
      </c>
      <c r="T205" s="18">
        <f t="shared" ref="T205" si="36">G205+I205+K205+M205+O205</f>
        <v>1.85</v>
      </c>
    </row>
    <row r="206" spans="2:20" x14ac:dyDescent="0.25">
      <c r="B206" s="117" t="s">
        <v>386</v>
      </c>
      <c r="C206" s="136" t="s">
        <v>387</v>
      </c>
      <c r="D206" s="14" t="s">
        <v>15</v>
      </c>
      <c r="E206" s="14" t="s">
        <v>16</v>
      </c>
      <c r="F206" s="15">
        <v>45300</v>
      </c>
      <c r="G206" s="16">
        <v>0.4</v>
      </c>
      <c r="H206" s="15">
        <v>45477</v>
      </c>
      <c r="I206" s="16">
        <v>0.5</v>
      </c>
      <c r="J206" s="15"/>
      <c r="K206" s="16"/>
      <c r="L206" s="15"/>
      <c r="M206" s="63"/>
      <c r="N206" s="17"/>
      <c r="O206" s="16"/>
      <c r="P206" s="16"/>
      <c r="Q206" s="152">
        <f t="shared" si="26"/>
        <v>0.4</v>
      </c>
      <c r="R206" s="152">
        <f t="shared" si="24"/>
        <v>0.4</v>
      </c>
      <c r="S206" s="152">
        <f t="shared" si="25"/>
        <v>0.9</v>
      </c>
      <c r="T206" s="18">
        <f t="shared" si="31"/>
        <v>0.9</v>
      </c>
    </row>
    <row r="207" spans="2:20" x14ac:dyDescent="0.25">
      <c r="B207" s="117" t="s">
        <v>388</v>
      </c>
      <c r="C207" s="136" t="s">
        <v>389</v>
      </c>
      <c r="D207" s="14" t="s">
        <v>15</v>
      </c>
      <c r="E207" s="14" t="s">
        <v>761</v>
      </c>
      <c r="F207" s="15">
        <v>45358</v>
      </c>
      <c r="G207" s="16">
        <v>203.77</v>
      </c>
      <c r="H207" s="15">
        <v>45519</v>
      </c>
      <c r="I207" s="16">
        <v>134.22818799999999</v>
      </c>
      <c r="J207" s="15"/>
      <c r="K207" s="16"/>
      <c r="L207" s="15"/>
      <c r="M207" s="63"/>
      <c r="N207" s="17"/>
      <c r="O207" s="16"/>
      <c r="P207" s="16"/>
      <c r="Q207" s="152">
        <f t="shared" si="26"/>
        <v>203.77</v>
      </c>
      <c r="R207" s="152">
        <f t="shared" ref="R207:R274" si="37">IF(F207&lt;=Exp24H1,G207,0)+IF(H207&lt;=Exp24H1,I207,0)+IF(J207&lt;=Exp24H1,K207,0)+IF(L207&lt;=Exp24H1,M207,0)+IF(N207&lt;=Exp24H1,O207,0)</f>
        <v>203.77</v>
      </c>
      <c r="S207" s="152">
        <f t="shared" ref="S207:S274" si="38">IF(F207&lt;=Exp24Q3,G207,0)+IF(H207&lt;=Exp24Q3,I207,0)+IF(J207&lt;=Exp24Q3,K207,0)+IF(L207&lt;=Exp24Q3,M207,0)+IF(N207&lt;=Exp24Q3,O207,0)</f>
        <v>337.99818800000003</v>
      </c>
      <c r="T207" s="18">
        <f t="shared" si="31"/>
        <v>337.99818800000003</v>
      </c>
    </row>
    <row r="208" spans="2:20" x14ac:dyDescent="0.25">
      <c r="B208" s="117" t="s">
        <v>390</v>
      </c>
      <c r="C208" s="136" t="s">
        <v>391</v>
      </c>
      <c r="D208" s="14" t="s">
        <v>15</v>
      </c>
      <c r="E208" s="14" t="s">
        <v>21</v>
      </c>
      <c r="F208" s="15">
        <v>45365</v>
      </c>
      <c r="G208" s="16">
        <v>9.6</v>
      </c>
      <c r="H208" s="15"/>
      <c r="I208" s="16"/>
      <c r="J208" s="15"/>
      <c r="K208" s="16"/>
      <c r="L208" s="15"/>
      <c r="M208" s="63"/>
      <c r="N208" s="17"/>
      <c r="O208" s="16"/>
      <c r="P208" s="16"/>
      <c r="Q208" s="152">
        <f t="shared" si="26"/>
        <v>9.6</v>
      </c>
      <c r="R208" s="152">
        <f t="shared" si="37"/>
        <v>9.6</v>
      </c>
      <c r="S208" s="152">
        <f t="shared" si="38"/>
        <v>9.6</v>
      </c>
      <c r="T208" s="18">
        <f t="shared" si="31"/>
        <v>9.6</v>
      </c>
    </row>
    <row r="209" spans="2:20" x14ac:dyDescent="0.25">
      <c r="B209" s="117" t="s">
        <v>392</v>
      </c>
      <c r="C209" s="136" t="s">
        <v>393</v>
      </c>
      <c r="D209" s="14" t="s">
        <v>15</v>
      </c>
      <c r="E209" s="14" t="s">
        <v>761</v>
      </c>
      <c r="F209" s="15"/>
      <c r="G209" s="16"/>
      <c r="H209" s="15"/>
      <c r="I209" s="16"/>
      <c r="J209" s="15"/>
      <c r="K209" s="16"/>
      <c r="L209" s="15"/>
      <c r="M209" s="63"/>
      <c r="N209" s="17"/>
      <c r="O209" s="16"/>
      <c r="P209" s="16"/>
      <c r="Q209" s="152">
        <f t="shared" si="26"/>
        <v>0</v>
      </c>
      <c r="R209" s="152">
        <f t="shared" si="37"/>
        <v>0</v>
      </c>
      <c r="S209" s="152">
        <f t="shared" si="38"/>
        <v>0</v>
      </c>
      <c r="T209" s="18">
        <f t="shared" si="31"/>
        <v>0</v>
      </c>
    </row>
    <row r="210" spans="2:20" x14ac:dyDescent="0.25">
      <c r="B210" s="117" t="s">
        <v>396</v>
      </c>
      <c r="C210" s="136" t="s">
        <v>397</v>
      </c>
      <c r="D210" s="14" t="s">
        <v>15</v>
      </c>
      <c r="E210" s="14" t="s">
        <v>16</v>
      </c>
      <c r="F210" s="15">
        <v>45418</v>
      </c>
      <c r="G210" s="16">
        <v>1</v>
      </c>
      <c r="H210" s="15"/>
      <c r="I210" s="16"/>
      <c r="J210" s="15"/>
      <c r="K210" s="16"/>
      <c r="L210" s="15"/>
      <c r="M210" s="63"/>
      <c r="N210" s="17"/>
      <c r="O210" s="16"/>
      <c r="P210" s="16"/>
      <c r="Q210" s="152">
        <f t="shared" ref="Q210:Q278" si="39">IF(F210&lt;=Exp24Q1,G210,0)+IF(H210&lt;=Exp24Q1,I210,0)+IF(J210&lt;=Exp24Q1,K210,0)+IF(L210&lt;=Exp24Q1,M210,0)+IF(N210&lt;=Exp24Q1,O210,0)</f>
        <v>0</v>
      </c>
      <c r="R210" s="152">
        <f t="shared" si="37"/>
        <v>1</v>
      </c>
      <c r="S210" s="152">
        <f t="shared" si="38"/>
        <v>1</v>
      </c>
      <c r="T210" s="18">
        <f t="shared" si="31"/>
        <v>1</v>
      </c>
    </row>
    <row r="211" spans="2:20" x14ac:dyDescent="0.25">
      <c r="B211" s="117" t="s">
        <v>398</v>
      </c>
      <c r="C211" s="136" t="s">
        <v>399</v>
      </c>
      <c r="D211" s="14" t="s">
        <v>24</v>
      </c>
      <c r="E211" s="14" t="s">
        <v>16</v>
      </c>
      <c r="F211" s="15">
        <v>45440</v>
      </c>
      <c r="G211" s="16">
        <v>2.2000000000000002</v>
      </c>
      <c r="H211" s="15"/>
      <c r="I211" s="16"/>
      <c r="J211" s="15"/>
      <c r="K211" s="16"/>
      <c r="L211" s="15"/>
      <c r="M211" s="63"/>
      <c r="N211" s="17"/>
      <c r="O211" s="16"/>
      <c r="P211" s="16"/>
      <c r="Q211" s="152">
        <f t="shared" si="39"/>
        <v>0</v>
      </c>
      <c r="R211" s="152">
        <f t="shared" si="37"/>
        <v>2.2000000000000002</v>
      </c>
      <c r="S211" s="152">
        <f t="shared" si="38"/>
        <v>2.2000000000000002</v>
      </c>
      <c r="T211" s="18">
        <f t="shared" si="31"/>
        <v>2.2000000000000002</v>
      </c>
    </row>
    <row r="212" spans="2:20" x14ac:dyDescent="0.25">
      <c r="B212" s="117" t="s">
        <v>400</v>
      </c>
      <c r="C212" s="136" t="s">
        <v>401</v>
      </c>
      <c r="D212" s="14" t="s">
        <v>24</v>
      </c>
      <c r="E212" s="14" t="s">
        <v>16</v>
      </c>
      <c r="F212" s="15">
        <v>45453</v>
      </c>
      <c r="G212" s="16">
        <v>2.1</v>
      </c>
      <c r="H212" s="15"/>
      <c r="I212" s="16"/>
      <c r="J212" s="15"/>
      <c r="K212" s="16"/>
      <c r="L212" s="15"/>
      <c r="M212" s="63"/>
      <c r="N212" s="17"/>
      <c r="O212" s="16"/>
      <c r="P212" s="16"/>
      <c r="Q212" s="152">
        <f t="shared" si="39"/>
        <v>0</v>
      </c>
      <c r="R212" s="152">
        <f t="shared" si="37"/>
        <v>2.1</v>
      </c>
      <c r="S212" s="152">
        <f t="shared" si="38"/>
        <v>2.1</v>
      </c>
      <c r="T212" s="18">
        <f t="shared" si="31"/>
        <v>2.1</v>
      </c>
    </row>
    <row r="213" spans="2:20" x14ac:dyDescent="0.25">
      <c r="B213" s="117" t="s">
        <v>919</v>
      </c>
      <c r="C213" s="136" t="s">
        <v>920</v>
      </c>
      <c r="D213" s="14" t="s">
        <v>755</v>
      </c>
      <c r="E213" s="14" t="s">
        <v>475</v>
      </c>
      <c r="F213" s="15">
        <v>45450</v>
      </c>
      <c r="G213" s="16">
        <v>35</v>
      </c>
      <c r="H213" s="15"/>
      <c r="I213" s="16"/>
      <c r="J213" s="15"/>
      <c r="K213" s="16"/>
      <c r="L213" s="15"/>
      <c r="M213" s="63"/>
      <c r="N213" s="17"/>
      <c r="O213" s="16"/>
      <c r="P213" s="16"/>
      <c r="Q213" s="152">
        <f t="shared" si="39"/>
        <v>0</v>
      </c>
      <c r="R213" s="152">
        <f t="shared" si="37"/>
        <v>35</v>
      </c>
      <c r="S213" s="152">
        <f t="shared" si="38"/>
        <v>35</v>
      </c>
      <c r="T213" s="18">
        <f t="shared" ref="T213:T280" si="40">G213+I213+K213+M213+O213</f>
        <v>35</v>
      </c>
    </row>
    <row r="214" spans="2:20" x14ac:dyDescent="0.25">
      <c r="B214" s="117" t="s">
        <v>404</v>
      </c>
      <c r="C214" s="136" t="s">
        <v>405</v>
      </c>
      <c r="D214" s="14" t="s">
        <v>15</v>
      </c>
      <c r="E214" s="14" t="s">
        <v>16</v>
      </c>
      <c r="F214" s="147">
        <v>45408</v>
      </c>
      <c r="G214" s="148">
        <f>1.6*0.99473823</f>
        <v>1.591581168</v>
      </c>
      <c r="H214" s="15"/>
      <c r="I214" s="16"/>
      <c r="J214" s="15"/>
      <c r="K214" s="16"/>
      <c r="L214" s="15"/>
      <c r="M214" s="63"/>
      <c r="N214" s="17"/>
      <c r="O214" s="16"/>
      <c r="P214" s="16"/>
      <c r="Q214" s="152">
        <f t="shared" si="39"/>
        <v>0</v>
      </c>
      <c r="R214" s="152">
        <f t="shared" si="37"/>
        <v>1.591581168</v>
      </c>
      <c r="S214" s="152">
        <f t="shared" si="38"/>
        <v>1.591581168</v>
      </c>
      <c r="T214" s="18">
        <f t="shared" si="40"/>
        <v>1.591581168</v>
      </c>
    </row>
    <row r="215" spans="2:20" x14ac:dyDescent="0.25">
      <c r="B215" s="155" t="s">
        <v>840</v>
      </c>
      <c r="C215" s="156" t="s">
        <v>841</v>
      </c>
      <c r="D215" s="39" t="s">
        <v>15</v>
      </c>
      <c r="E215" s="39" t="s">
        <v>200</v>
      </c>
      <c r="F215" s="15">
        <v>45412</v>
      </c>
      <c r="G215" s="16">
        <v>5.5</v>
      </c>
      <c r="H215" s="15"/>
      <c r="I215" s="16"/>
      <c r="J215" s="15"/>
      <c r="K215" s="16"/>
      <c r="L215" s="15"/>
      <c r="M215" s="63"/>
      <c r="N215" s="17"/>
      <c r="O215" s="16"/>
      <c r="P215" s="41"/>
      <c r="Q215" s="152">
        <f t="shared" si="39"/>
        <v>0</v>
      </c>
      <c r="R215" s="152">
        <f t="shared" si="37"/>
        <v>5.5</v>
      </c>
      <c r="S215" s="152">
        <f t="shared" si="38"/>
        <v>5.5</v>
      </c>
      <c r="T215" s="43">
        <f t="shared" si="40"/>
        <v>5.5</v>
      </c>
    </row>
    <row r="216" spans="2:20" x14ac:dyDescent="0.25">
      <c r="B216" s="117" t="s">
        <v>406</v>
      </c>
      <c r="C216" s="136" t="s">
        <v>547</v>
      </c>
      <c r="D216" s="14" t="s">
        <v>24</v>
      </c>
      <c r="E216" s="14" t="s">
        <v>16</v>
      </c>
      <c r="F216" s="15">
        <v>45425</v>
      </c>
      <c r="G216" s="16">
        <v>3.76</v>
      </c>
      <c r="H216" s="15"/>
      <c r="I216" s="16"/>
      <c r="J216" s="15"/>
      <c r="K216" s="16"/>
      <c r="L216" s="15"/>
      <c r="M216" s="63"/>
      <c r="N216" s="17"/>
      <c r="O216" s="16"/>
      <c r="P216" s="16"/>
      <c r="Q216" s="152">
        <f t="shared" si="39"/>
        <v>0</v>
      </c>
      <c r="R216" s="152">
        <f t="shared" si="37"/>
        <v>3.76</v>
      </c>
      <c r="S216" s="152">
        <f t="shared" si="38"/>
        <v>3.76</v>
      </c>
      <c r="T216" s="18">
        <f t="shared" si="40"/>
        <v>3.76</v>
      </c>
    </row>
    <row r="217" spans="2:20" x14ac:dyDescent="0.25">
      <c r="B217" s="158" t="s">
        <v>408</v>
      </c>
      <c r="C217" s="159" t="s">
        <v>409</v>
      </c>
      <c r="D217" s="45" t="s">
        <v>15</v>
      </c>
      <c r="E217" s="45" t="s">
        <v>16</v>
      </c>
      <c r="F217" s="15">
        <v>45428</v>
      </c>
      <c r="G217" s="16">
        <v>2.2000000000000002</v>
      </c>
      <c r="H217" s="15"/>
      <c r="I217" s="16"/>
      <c r="J217" s="15"/>
      <c r="K217" s="16"/>
      <c r="L217" s="15"/>
      <c r="M217" s="63"/>
      <c r="N217" s="17"/>
      <c r="O217" s="16"/>
      <c r="P217" s="47"/>
      <c r="Q217" s="152">
        <f t="shared" si="39"/>
        <v>0</v>
      </c>
      <c r="R217" s="152">
        <f t="shared" si="37"/>
        <v>2.2000000000000002</v>
      </c>
      <c r="S217" s="152">
        <f t="shared" si="38"/>
        <v>2.2000000000000002</v>
      </c>
      <c r="T217" s="49">
        <f t="shared" si="40"/>
        <v>2.2000000000000002</v>
      </c>
    </row>
    <row r="218" spans="2:20" x14ac:dyDescent="0.25">
      <c r="B218" s="117" t="s">
        <v>410</v>
      </c>
      <c r="C218" s="136" t="s">
        <v>411</v>
      </c>
      <c r="D218" s="14" t="s">
        <v>15</v>
      </c>
      <c r="E218" s="14" t="s">
        <v>16</v>
      </c>
      <c r="F218" s="15">
        <v>45398</v>
      </c>
      <c r="G218" s="16">
        <v>0.7651</v>
      </c>
      <c r="H218" s="15"/>
      <c r="I218" s="16"/>
      <c r="J218" s="15"/>
      <c r="K218" s="16"/>
      <c r="L218" s="15"/>
      <c r="M218" s="63"/>
      <c r="N218" s="17"/>
      <c r="O218" s="16"/>
      <c r="P218" s="16"/>
      <c r="Q218" s="152">
        <f t="shared" si="39"/>
        <v>0</v>
      </c>
      <c r="R218" s="152">
        <f t="shared" si="37"/>
        <v>0.7651</v>
      </c>
      <c r="S218" s="152">
        <f t="shared" si="38"/>
        <v>0.7651</v>
      </c>
      <c r="T218" s="18">
        <f t="shared" si="40"/>
        <v>0.7651</v>
      </c>
    </row>
    <row r="219" spans="2:20" x14ac:dyDescent="0.25">
      <c r="B219" s="117" t="s">
        <v>921</v>
      </c>
      <c r="C219" s="136" t="s">
        <v>922</v>
      </c>
      <c r="D219" s="14" t="s">
        <v>755</v>
      </c>
      <c r="E219" s="14" t="s">
        <v>475</v>
      </c>
      <c r="F219" s="147">
        <v>45411</v>
      </c>
      <c r="G219" s="148">
        <f>2*0.79060293*0.97387057</f>
        <v>1.5398898521655402</v>
      </c>
      <c r="H219" s="15"/>
      <c r="I219" s="16"/>
      <c r="J219" s="15"/>
      <c r="K219" s="16"/>
      <c r="L219" s="15"/>
      <c r="M219" s="63"/>
      <c r="N219" s="17"/>
      <c r="O219" s="16"/>
      <c r="P219" s="16"/>
      <c r="Q219" s="152">
        <f t="shared" si="39"/>
        <v>0</v>
      </c>
      <c r="R219" s="152">
        <f t="shared" si="37"/>
        <v>1.5398898521655402</v>
      </c>
      <c r="S219" s="152">
        <f t="shared" si="38"/>
        <v>1.5398898521655402</v>
      </c>
      <c r="T219" s="18">
        <f t="shared" si="40"/>
        <v>1.5398898521655402</v>
      </c>
    </row>
    <row r="220" spans="2:20" x14ac:dyDescent="0.25">
      <c r="B220" s="117" t="s">
        <v>412</v>
      </c>
      <c r="C220" s="136" t="s">
        <v>413</v>
      </c>
      <c r="D220" s="14" t="s">
        <v>24</v>
      </c>
      <c r="E220" s="14" t="s">
        <v>16</v>
      </c>
      <c r="F220" s="15">
        <v>45440</v>
      </c>
      <c r="G220" s="16">
        <v>3.5</v>
      </c>
      <c r="H220" s="15"/>
      <c r="I220" s="16"/>
      <c r="J220" s="15"/>
      <c r="K220" s="16"/>
      <c r="L220" s="15"/>
      <c r="M220" s="63"/>
      <c r="N220" s="17"/>
      <c r="O220" s="16"/>
      <c r="P220" s="16"/>
      <c r="Q220" s="152">
        <f t="shared" si="39"/>
        <v>0</v>
      </c>
      <c r="R220" s="152">
        <f t="shared" si="37"/>
        <v>3.5</v>
      </c>
      <c r="S220" s="152">
        <f t="shared" si="38"/>
        <v>3.5</v>
      </c>
      <c r="T220" s="18">
        <f t="shared" si="40"/>
        <v>3.5</v>
      </c>
    </row>
    <row r="221" spans="2:20" x14ac:dyDescent="0.25">
      <c r="B221" s="117" t="s">
        <v>414</v>
      </c>
      <c r="C221" s="136" t="s">
        <v>415</v>
      </c>
      <c r="D221" s="14" t="s">
        <v>24</v>
      </c>
      <c r="E221" s="14" t="s">
        <v>16</v>
      </c>
      <c r="F221" s="15">
        <v>45433</v>
      </c>
      <c r="G221" s="16">
        <v>1.8</v>
      </c>
      <c r="H221" s="15"/>
      <c r="I221" s="16"/>
      <c r="J221" s="15"/>
      <c r="K221" s="16"/>
      <c r="L221" s="15"/>
      <c r="M221" s="63"/>
      <c r="N221" s="17"/>
      <c r="O221" s="16"/>
      <c r="P221" s="16"/>
      <c r="Q221" s="152">
        <f t="shared" si="39"/>
        <v>0</v>
      </c>
      <c r="R221" s="152">
        <f t="shared" si="37"/>
        <v>1.8</v>
      </c>
      <c r="S221" s="152">
        <f t="shared" si="38"/>
        <v>1.8</v>
      </c>
      <c r="T221" s="18">
        <f t="shared" si="40"/>
        <v>1.8</v>
      </c>
    </row>
    <row r="222" spans="2:20" x14ac:dyDescent="0.25">
      <c r="B222" s="117" t="s">
        <v>888</v>
      </c>
      <c r="C222" s="136" t="s">
        <v>889</v>
      </c>
      <c r="D222" s="14" t="s">
        <v>15</v>
      </c>
      <c r="E222" s="14" t="s">
        <v>200</v>
      </c>
      <c r="F222" s="15">
        <v>45422</v>
      </c>
      <c r="G222" s="16">
        <v>1.9</v>
      </c>
      <c r="H222" s="15">
        <v>45611</v>
      </c>
      <c r="I222" s="16">
        <v>1.9</v>
      </c>
      <c r="J222" s="15"/>
      <c r="K222" s="16"/>
      <c r="L222" s="15"/>
      <c r="M222" s="63"/>
      <c r="N222" s="17"/>
      <c r="O222" s="16"/>
      <c r="P222" s="16"/>
      <c r="Q222" s="152">
        <f t="shared" si="39"/>
        <v>0</v>
      </c>
      <c r="R222" s="152">
        <f t="shared" si="37"/>
        <v>1.9</v>
      </c>
      <c r="S222" s="152">
        <f t="shared" si="38"/>
        <v>1.9</v>
      </c>
      <c r="T222" s="18">
        <f t="shared" si="40"/>
        <v>3.8</v>
      </c>
    </row>
    <row r="223" spans="2:20" x14ac:dyDescent="0.25">
      <c r="B223" s="117" t="s">
        <v>418</v>
      </c>
      <c r="C223" s="136" t="s">
        <v>419</v>
      </c>
      <c r="D223" s="14" t="s">
        <v>15</v>
      </c>
      <c r="E223" s="14" t="s">
        <v>761</v>
      </c>
      <c r="F223" s="15">
        <v>45442</v>
      </c>
      <c r="G223" s="16">
        <v>70.099999999999994</v>
      </c>
      <c r="H223" s="15">
        <v>45624</v>
      </c>
      <c r="I223" s="16">
        <v>48.68</v>
      </c>
      <c r="J223" s="15"/>
      <c r="K223" s="16"/>
      <c r="L223" s="15"/>
      <c r="M223" s="63"/>
      <c r="N223" s="17"/>
      <c r="O223" s="16"/>
      <c r="P223" s="16"/>
      <c r="Q223" s="152">
        <f t="shared" si="39"/>
        <v>0</v>
      </c>
      <c r="R223" s="152">
        <f t="shared" si="37"/>
        <v>70.099999999999994</v>
      </c>
      <c r="S223" s="152">
        <f t="shared" si="38"/>
        <v>70.099999999999994</v>
      </c>
      <c r="T223" s="18">
        <f>G223+I223+K223+M223+O223</f>
        <v>118.78</v>
      </c>
    </row>
    <row r="224" spans="2:20" x14ac:dyDescent="0.25">
      <c r="B224" s="155" t="s">
        <v>420</v>
      </c>
      <c r="C224" s="156" t="s">
        <v>421</v>
      </c>
      <c r="D224" s="39" t="s">
        <v>15</v>
      </c>
      <c r="E224" s="39" t="s">
        <v>21</v>
      </c>
      <c r="F224" s="15">
        <v>45379</v>
      </c>
      <c r="G224" s="16">
        <v>3.2</v>
      </c>
      <c r="H224" s="15"/>
      <c r="I224" s="16"/>
      <c r="J224" s="15"/>
      <c r="K224" s="16"/>
      <c r="L224" s="15"/>
      <c r="M224" s="63"/>
      <c r="N224" s="17"/>
      <c r="O224" s="16"/>
      <c r="P224" s="41"/>
      <c r="Q224" s="152">
        <f t="shared" si="39"/>
        <v>0</v>
      </c>
      <c r="R224" s="152">
        <f t="shared" si="37"/>
        <v>3.2</v>
      </c>
      <c r="S224" s="152">
        <f t="shared" si="38"/>
        <v>3.2</v>
      </c>
      <c r="T224" s="43">
        <f t="shared" si="40"/>
        <v>3.2</v>
      </c>
    </row>
    <row r="225" spans="2:20" x14ac:dyDescent="0.25">
      <c r="B225" s="117" t="s">
        <v>822</v>
      </c>
      <c r="C225" s="136" t="s">
        <v>395</v>
      </c>
      <c r="D225" s="14" t="s">
        <v>15</v>
      </c>
      <c r="E225" s="14" t="s">
        <v>16</v>
      </c>
      <c r="F225" s="15">
        <v>45337</v>
      </c>
      <c r="G225" s="16">
        <v>0.31509999999999999</v>
      </c>
      <c r="H225" s="15">
        <v>45428</v>
      </c>
      <c r="I225" s="16">
        <v>0.31659999999999999</v>
      </c>
      <c r="J225" s="15">
        <v>45519</v>
      </c>
      <c r="K225" s="16">
        <v>0.31019999999999998</v>
      </c>
      <c r="L225" s="15">
        <v>45610</v>
      </c>
      <c r="M225" s="63">
        <v>0.32619999999999999</v>
      </c>
      <c r="N225" s="17"/>
      <c r="O225" s="16"/>
      <c r="P225" s="16"/>
      <c r="Q225" s="152">
        <f>IF(F225&lt;=Exp24Q1,G225,0)+IF(H225&lt;=Exp24Q1,I225,0)+IF(J225&lt;=Exp24Q1,K225,0)+IF(L225&lt;=Exp24Q1,M225,0)+IF(N225&lt;=Exp24Q1,O225,0)</f>
        <v>0.31509999999999999</v>
      </c>
      <c r="R225" s="152">
        <f>IF(F225&lt;=Exp24H1,G225,0)+IF(H225&lt;=Exp24H1,I225,0)+IF(J225&lt;=Exp24H1,K225,0)+IF(L225&lt;=Exp24H1,M225,0)+IF(N225&lt;=Exp24H1,O225,0)</f>
        <v>0.63169999999999993</v>
      </c>
      <c r="S225" s="152">
        <f>IF(F225&lt;=Exp24Q3,G225,0)+IF(H225&lt;=Exp24Q3,I225,0)+IF(J225&lt;=Exp24Q3,K225,0)+IF(L225&lt;=Exp24Q3,M225,0)+IF(N225&lt;=Exp24Q3,O225,0)</f>
        <v>0.94189999999999996</v>
      </c>
      <c r="T225" s="18">
        <f>G225+I225+K225+M225+O225</f>
        <v>1.2681</v>
      </c>
    </row>
    <row r="226" spans="2:20" x14ac:dyDescent="0.25">
      <c r="B226" s="117" t="s">
        <v>738</v>
      </c>
      <c r="C226" s="136" t="s">
        <v>740</v>
      </c>
      <c r="D226" s="39" t="s">
        <v>15</v>
      </c>
      <c r="E226" s="14" t="s">
        <v>16</v>
      </c>
      <c r="F226" s="15">
        <v>45331</v>
      </c>
      <c r="G226" s="16">
        <v>4.7</v>
      </c>
      <c r="H226" s="15"/>
      <c r="I226" s="16"/>
      <c r="J226" s="15"/>
      <c r="K226" s="16"/>
      <c r="L226" s="15"/>
      <c r="M226" s="63"/>
      <c r="N226" s="17"/>
      <c r="O226" s="16"/>
      <c r="P226" s="16"/>
      <c r="Q226" s="152">
        <f t="shared" si="39"/>
        <v>4.7</v>
      </c>
      <c r="R226" s="152">
        <f t="shared" si="37"/>
        <v>4.7</v>
      </c>
      <c r="S226" s="152">
        <f t="shared" si="38"/>
        <v>4.7</v>
      </c>
      <c r="T226" s="18">
        <f t="shared" si="40"/>
        <v>4.7</v>
      </c>
    </row>
    <row r="227" spans="2:20" x14ac:dyDescent="0.25">
      <c r="B227" s="155" t="s">
        <v>739</v>
      </c>
      <c r="C227" s="156" t="s">
        <v>741</v>
      </c>
      <c r="D227" s="39" t="s">
        <v>15</v>
      </c>
      <c r="E227" s="39" t="s">
        <v>16</v>
      </c>
      <c r="F227" s="15"/>
      <c r="G227" s="16"/>
      <c r="H227" s="15"/>
      <c r="I227" s="16"/>
      <c r="J227" s="15"/>
      <c r="K227" s="16"/>
      <c r="L227" s="15"/>
      <c r="M227" s="63"/>
      <c r="N227" s="17"/>
      <c r="O227" s="16"/>
      <c r="P227" s="41"/>
      <c r="Q227" s="152">
        <f t="shared" si="39"/>
        <v>0</v>
      </c>
      <c r="R227" s="152">
        <f t="shared" si="37"/>
        <v>0</v>
      </c>
      <c r="S227" s="152">
        <f t="shared" si="38"/>
        <v>0</v>
      </c>
      <c r="T227" s="43">
        <f t="shared" si="40"/>
        <v>0</v>
      </c>
    </row>
    <row r="228" spans="2:20" x14ac:dyDescent="0.25">
      <c r="B228" s="117" t="s">
        <v>771</v>
      </c>
      <c r="C228" s="136" t="s">
        <v>772</v>
      </c>
      <c r="D228" s="39" t="s">
        <v>15</v>
      </c>
      <c r="E228" s="14" t="s">
        <v>16</v>
      </c>
      <c r="F228" s="15">
        <v>45428</v>
      </c>
      <c r="G228" s="16">
        <v>1.55</v>
      </c>
      <c r="H228" s="15"/>
      <c r="I228" s="16"/>
      <c r="J228" s="15"/>
      <c r="K228" s="16"/>
      <c r="L228" s="15"/>
      <c r="M228" s="63"/>
      <c r="N228" s="17"/>
      <c r="O228" s="16"/>
      <c r="P228" s="16"/>
      <c r="Q228" s="152">
        <f t="shared" si="39"/>
        <v>0</v>
      </c>
      <c r="R228" s="152">
        <f t="shared" si="37"/>
        <v>1.55</v>
      </c>
      <c r="S228" s="152">
        <f t="shared" si="38"/>
        <v>1.55</v>
      </c>
      <c r="T228" s="18">
        <f t="shared" si="40"/>
        <v>1.55</v>
      </c>
    </row>
    <row r="229" spans="2:20" x14ac:dyDescent="0.25">
      <c r="B229" s="117" t="s">
        <v>879</v>
      </c>
      <c r="C229" s="136" t="s">
        <v>880</v>
      </c>
      <c r="D229" s="14" t="s">
        <v>15</v>
      </c>
      <c r="E229" s="14" t="s">
        <v>21</v>
      </c>
      <c r="F229" s="15">
        <v>45379</v>
      </c>
      <c r="G229" s="16">
        <v>3.3</v>
      </c>
      <c r="H229" s="15"/>
      <c r="I229" s="16"/>
      <c r="J229" s="15"/>
      <c r="K229" s="16"/>
      <c r="L229" s="15"/>
      <c r="M229" s="63"/>
      <c r="N229" s="17"/>
      <c r="O229" s="16"/>
      <c r="P229" s="16"/>
      <c r="Q229" s="152">
        <f t="shared" si="39"/>
        <v>0</v>
      </c>
      <c r="R229" s="152">
        <f t="shared" si="37"/>
        <v>3.3</v>
      </c>
      <c r="S229" s="152">
        <f t="shared" si="38"/>
        <v>3.3</v>
      </c>
      <c r="T229" s="18">
        <f t="shared" si="40"/>
        <v>3.3</v>
      </c>
    </row>
    <row r="230" spans="2:20" x14ac:dyDescent="0.25">
      <c r="B230" s="158" t="s">
        <v>850</v>
      </c>
      <c r="C230" s="159" t="s">
        <v>848</v>
      </c>
      <c r="D230" s="39" t="s">
        <v>15</v>
      </c>
      <c r="E230" s="45" t="s">
        <v>849</v>
      </c>
      <c r="F230" s="15"/>
      <c r="G230" s="16"/>
      <c r="H230" s="15"/>
      <c r="I230" s="16"/>
      <c r="J230" s="15"/>
      <c r="K230" s="16"/>
      <c r="L230" s="15"/>
      <c r="M230" s="63"/>
      <c r="N230" s="17"/>
      <c r="O230" s="16"/>
      <c r="P230" s="47"/>
      <c r="Q230" s="152">
        <f t="shared" si="39"/>
        <v>0</v>
      </c>
      <c r="R230" s="152">
        <f t="shared" si="37"/>
        <v>0</v>
      </c>
      <c r="S230" s="152">
        <f t="shared" si="38"/>
        <v>0</v>
      </c>
      <c r="T230" s="18">
        <f t="shared" si="40"/>
        <v>0</v>
      </c>
    </row>
    <row r="231" spans="2:20" x14ac:dyDescent="0.25">
      <c r="B231" s="158" t="s">
        <v>426</v>
      </c>
      <c r="C231" s="159" t="s">
        <v>427</v>
      </c>
      <c r="D231" s="39" t="s">
        <v>15</v>
      </c>
      <c r="E231" s="45" t="s">
        <v>200</v>
      </c>
      <c r="F231" s="147">
        <v>45371</v>
      </c>
      <c r="G231" s="148">
        <f>8.5*0.97968168</f>
        <v>8.3272942800000003</v>
      </c>
      <c r="H231" s="15"/>
      <c r="I231" s="16"/>
      <c r="J231" s="15"/>
      <c r="K231" s="16"/>
      <c r="L231" s="15"/>
      <c r="M231" s="63"/>
      <c r="N231" s="17"/>
      <c r="O231" s="16"/>
      <c r="P231" s="47"/>
      <c r="Q231" s="152">
        <f t="shared" si="39"/>
        <v>0</v>
      </c>
      <c r="R231" s="152">
        <f t="shared" si="37"/>
        <v>8.3272942800000003</v>
      </c>
      <c r="S231" s="152">
        <f t="shared" si="38"/>
        <v>8.3272942800000003</v>
      </c>
      <c r="T231" s="49">
        <f t="shared" si="40"/>
        <v>8.3272942800000003</v>
      </c>
    </row>
    <row r="232" spans="2:20" x14ac:dyDescent="0.25">
      <c r="B232" s="158" t="s">
        <v>838</v>
      </c>
      <c r="C232" s="159" t="s">
        <v>839</v>
      </c>
      <c r="D232" s="39" t="s">
        <v>15</v>
      </c>
      <c r="E232" s="45" t="s">
        <v>200</v>
      </c>
      <c r="F232" s="15">
        <v>45379</v>
      </c>
      <c r="G232" s="16">
        <v>5.5</v>
      </c>
      <c r="H232" s="15"/>
      <c r="I232" s="16"/>
      <c r="J232" s="15"/>
      <c r="K232" s="16"/>
      <c r="L232" s="15"/>
      <c r="M232" s="63"/>
      <c r="N232" s="17"/>
      <c r="O232" s="16"/>
      <c r="P232" s="47"/>
      <c r="Q232" s="152">
        <f t="shared" si="39"/>
        <v>0</v>
      </c>
      <c r="R232" s="152">
        <f t="shared" si="37"/>
        <v>5.5</v>
      </c>
      <c r="S232" s="152">
        <f t="shared" si="38"/>
        <v>5.5</v>
      </c>
      <c r="T232" s="49">
        <f t="shared" si="40"/>
        <v>5.5</v>
      </c>
    </row>
    <row r="233" spans="2:20" x14ac:dyDescent="0.25">
      <c r="B233" s="158" t="s">
        <v>842</v>
      </c>
      <c r="C233" s="159" t="s">
        <v>843</v>
      </c>
      <c r="D233" s="39" t="s">
        <v>15</v>
      </c>
      <c r="E233" s="45" t="s">
        <v>200</v>
      </c>
      <c r="F233" s="15">
        <v>45378</v>
      </c>
      <c r="G233" s="16">
        <v>7.5</v>
      </c>
      <c r="H233" s="15"/>
      <c r="I233" s="16"/>
      <c r="J233" s="15"/>
      <c r="K233" s="16"/>
      <c r="L233" s="15"/>
      <c r="M233" s="63"/>
      <c r="N233" s="17"/>
      <c r="O233" s="16"/>
      <c r="P233" s="47"/>
      <c r="Q233" s="152">
        <f t="shared" si="39"/>
        <v>0</v>
      </c>
      <c r="R233" s="152">
        <f t="shared" si="37"/>
        <v>7.5</v>
      </c>
      <c r="S233" s="152">
        <f t="shared" si="38"/>
        <v>7.5</v>
      </c>
      <c r="T233" s="49">
        <f t="shared" si="40"/>
        <v>7.5</v>
      </c>
    </row>
    <row r="234" spans="2:20" x14ac:dyDescent="0.25">
      <c r="B234" s="158" t="s">
        <v>430</v>
      </c>
      <c r="C234" s="159" t="s">
        <v>953</v>
      </c>
      <c r="D234" s="39" t="s">
        <v>941</v>
      </c>
      <c r="E234" s="45" t="s">
        <v>16</v>
      </c>
      <c r="F234" s="15">
        <v>45313</v>
      </c>
      <c r="G234" s="16">
        <v>0.1128</v>
      </c>
      <c r="H234" s="15">
        <v>45467</v>
      </c>
      <c r="I234" s="16">
        <v>0.16919999999999999</v>
      </c>
      <c r="J234" s="15"/>
      <c r="K234" s="16"/>
      <c r="L234" s="15"/>
      <c r="M234" s="63"/>
      <c r="N234" s="17"/>
      <c r="O234" s="16"/>
      <c r="P234" s="47"/>
      <c r="Q234" s="152">
        <f t="shared" ref="Q234" si="41">IF(F234&lt;=Exp24Q1,G234,0)+IF(H234&lt;=Exp24Q1,I234,0)+IF(J234&lt;=Exp24Q1,K234,0)+IF(L234&lt;=Exp24Q1,M234,0)+IF(N234&lt;=Exp24Q1,O234,0)</f>
        <v>0.1128</v>
      </c>
      <c r="R234" s="152">
        <f t="shared" ref="R234" si="42">IF(F234&lt;=Exp24H1,G234,0)+IF(H234&lt;=Exp24H1,I234,0)+IF(J234&lt;=Exp24H1,K234,0)+IF(L234&lt;=Exp24H1,M234,0)+IF(N234&lt;=Exp24H1,O234,0)</f>
        <v>0.1128</v>
      </c>
      <c r="S234" s="152">
        <f t="shared" ref="S234" si="43">IF(F234&lt;=Exp24Q3,G234,0)+IF(H234&lt;=Exp24Q3,I234,0)+IF(J234&lt;=Exp24Q3,K234,0)+IF(L234&lt;=Exp24Q3,M234,0)+IF(N234&lt;=Exp24Q3,O234,0)</f>
        <v>0.28199999999999997</v>
      </c>
      <c r="T234" s="49">
        <f t="shared" ref="T234" si="44">G234+I234+K234+M234+O234</f>
        <v>0.28199999999999997</v>
      </c>
    </row>
    <row r="235" spans="2:20" x14ac:dyDescent="0.25">
      <c r="B235" s="117" t="s">
        <v>435</v>
      </c>
      <c r="C235" s="136" t="s">
        <v>436</v>
      </c>
      <c r="D235" s="14" t="s">
        <v>24</v>
      </c>
      <c r="E235" s="14" t="s">
        <v>16</v>
      </c>
      <c r="F235" s="15">
        <v>45439</v>
      </c>
      <c r="G235" s="16">
        <v>0.9</v>
      </c>
      <c r="H235" s="15"/>
      <c r="I235" s="16"/>
      <c r="J235" s="15"/>
      <c r="K235" s="16"/>
      <c r="L235" s="15"/>
      <c r="M235" s="63"/>
      <c r="N235" s="17"/>
      <c r="O235" s="16"/>
      <c r="P235" s="16"/>
      <c r="Q235" s="152">
        <f t="shared" si="39"/>
        <v>0</v>
      </c>
      <c r="R235" s="152">
        <f t="shared" si="37"/>
        <v>0.9</v>
      </c>
      <c r="S235" s="152">
        <f t="shared" si="38"/>
        <v>0.9</v>
      </c>
      <c r="T235" s="18">
        <f t="shared" si="40"/>
        <v>0.9</v>
      </c>
    </row>
    <row r="236" spans="2:20" x14ac:dyDescent="0.25">
      <c r="B236" s="117" t="s">
        <v>439</v>
      </c>
      <c r="C236" s="136" t="s">
        <v>440</v>
      </c>
      <c r="D236" s="14" t="s">
        <v>27</v>
      </c>
      <c r="E236" s="14" t="s">
        <v>16</v>
      </c>
      <c r="F236" s="15"/>
      <c r="G236" s="16"/>
      <c r="H236" s="15"/>
      <c r="I236" s="16"/>
      <c r="J236" s="15"/>
      <c r="K236" s="16"/>
      <c r="L236" s="15"/>
      <c r="M236" s="63"/>
      <c r="N236" s="17"/>
      <c r="O236" s="16"/>
      <c r="P236" s="16"/>
      <c r="Q236" s="152">
        <f t="shared" si="39"/>
        <v>0</v>
      </c>
      <c r="R236" s="152">
        <f t="shared" si="37"/>
        <v>0</v>
      </c>
      <c r="S236" s="152">
        <f t="shared" si="38"/>
        <v>0</v>
      </c>
      <c r="T236" s="18">
        <f t="shared" si="40"/>
        <v>0</v>
      </c>
    </row>
    <row r="237" spans="2:20" x14ac:dyDescent="0.25">
      <c r="B237" s="117" t="s">
        <v>445</v>
      </c>
      <c r="C237" s="136" t="s">
        <v>446</v>
      </c>
      <c r="D237" s="14" t="s">
        <v>15</v>
      </c>
      <c r="E237" s="14" t="s">
        <v>761</v>
      </c>
      <c r="F237" s="15">
        <v>45302</v>
      </c>
      <c r="G237" s="16">
        <v>20</v>
      </c>
      <c r="H237" s="15">
        <v>45498</v>
      </c>
      <c r="I237" s="16">
        <v>40</v>
      </c>
      <c r="J237" s="15"/>
      <c r="K237" s="16"/>
      <c r="L237" s="15"/>
      <c r="M237" s="63"/>
      <c r="N237" s="17"/>
      <c r="O237" s="16"/>
      <c r="P237" s="16"/>
      <c r="Q237" s="152">
        <f t="shared" si="39"/>
        <v>20</v>
      </c>
      <c r="R237" s="152">
        <f t="shared" si="37"/>
        <v>20</v>
      </c>
      <c r="S237" s="152">
        <f t="shared" si="38"/>
        <v>60</v>
      </c>
      <c r="T237" s="18">
        <f t="shared" si="40"/>
        <v>60</v>
      </c>
    </row>
    <row r="238" spans="2:20" x14ac:dyDescent="0.25">
      <c r="B238" s="117" t="s">
        <v>447</v>
      </c>
      <c r="C238" s="136" t="s">
        <v>448</v>
      </c>
      <c r="D238" s="14" t="s">
        <v>15</v>
      </c>
      <c r="E238" s="14" t="s">
        <v>56</v>
      </c>
      <c r="F238" s="15">
        <v>45358</v>
      </c>
      <c r="G238" s="16">
        <v>0.21</v>
      </c>
      <c r="H238" s="15">
        <v>45512</v>
      </c>
      <c r="I238" s="16">
        <v>0.09</v>
      </c>
      <c r="J238" s="15"/>
      <c r="K238" s="16"/>
      <c r="L238" s="15"/>
      <c r="M238" s="63"/>
      <c r="N238" s="17"/>
      <c r="O238" s="16"/>
      <c r="P238" s="16"/>
      <c r="Q238" s="152">
        <f t="shared" si="39"/>
        <v>0.21</v>
      </c>
      <c r="R238" s="152">
        <f t="shared" si="37"/>
        <v>0.21</v>
      </c>
      <c r="S238" s="152">
        <f t="shared" si="38"/>
        <v>0.3</v>
      </c>
      <c r="T238" s="18">
        <f t="shared" si="40"/>
        <v>0.3</v>
      </c>
    </row>
    <row r="239" spans="2:20" x14ac:dyDescent="0.25">
      <c r="B239" s="117" t="s">
        <v>733</v>
      </c>
      <c r="C239" s="136" t="s">
        <v>954</v>
      </c>
      <c r="D239" s="14" t="s">
        <v>941</v>
      </c>
      <c r="E239" s="14" t="s">
        <v>16</v>
      </c>
      <c r="F239" s="15">
        <v>45404</v>
      </c>
      <c r="G239" s="16">
        <v>1.55</v>
      </c>
      <c r="H239" s="15"/>
      <c r="I239" s="16"/>
      <c r="J239" s="15"/>
      <c r="K239" s="16"/>
      <c r="L239" s="15"/>
      <c r="M239" s="63"/>
      <c r="N239" s="17"/>
      <c r="O239" s="16"/>
      <c r="P239" s="16"/>
      <c r="Q239" s="152">
        <f t="shared" ref="Q239" si="45">IF(F239&lt;=Exp24Q1,G239,0)+IF(H239&lt;=Exp24Q1,I239,0)+IF(J239&lt;=Exp24Q1,K239,0)+IF(L239&lt;=Exp24Q1,M239,0)+IF(N239&lt;=Exp24Q1,O239,0)</f>
        <v>0</v>
      </c>
      <c r="R239" s="152">
        <f t="shared" ref="R239" si="46">IF(F239&lt;=Exp24H1,G239,0)+IF(H239&lt;=Exp24H1,I239,0)+IF(J239&lt;=Exp24H1,K239,0)+IF(L239&lt;=Exp24H1,M239,0)+IF(N239&lt;=Exp24H1,O239,0)</f>
        <v>1.55</v>
      </c>
      <c r="S239" s="152">
        <f t="shared" ref="S239" si="47">IF(F239&lt;=Exp24Q3,G239,0)+IF(H239&lt;=Exp24Q3,I239,0)+IF(J239&lt;=Exp24Q3,K239,0)+IF(L239&lt;=Exp24Q3,M239,0)+IF(N239&lt;=Exp24Q3,O239,0)</f>
        <v>1.55</v>
      </c>
      <c r="T239" s="18">
        <f t="shared" ref="T239" si="48">G239+I239+K239+M239+O239</f>
        <v>1.55</v>
      </c>
    </row>
    <row r="240" spans="2:20" x14ac:dyDescent="0.25">
      <c r="B240" s="117" t="s">
        <v>733</v>
      </c>
      <c r="C240" s="136" t="s">
        <v>362</v>
      </c>
      <c r="D240" s="14" t="s">
        <v>24</v>
      </c>
      <c r="E240" s="14" t="s">
        <v>16</v>
      </c>
      <c r="F240" s="15">
        <v>45404</v>
      </c>
      <c r="G240" s="16">
        <v>1.55</v>
      </c>
      <c r="H240" s="15"/>
      <c r="I240" s="16"/>
      <c r="J240" s="15"/>
      <c r="K240" s="16"/>
      <c r="L240" s="15"/>
      <c r="M240" s="63"/>
      <c r="N240" s="17"/>
      <c r="O240" s="16"/>
      <c r="P240" s="16"/>
      <c r="Q240" s="152">
        <f t="shared" si="39"/>
        <v>0</v>
      </c>
      <c r="R240" s="152">
        <f t="shared" si="37"/>
        <v>1.55</v>
      </c>
      <c r="S240" s="152">
        <f t="shared" si="38"/>
        <v>1.55</v>
      </c>
      <c r="T240" s="18">
        <f t="shared" si="40"/>
        <v>1.55</v>
      </c>
    </row>
    <row r="241" spans="2:20" x14ac:dyDescent="0.25">
      <c r="B241" s="117" t="s">
        <v>451</v>
      </c>
      <c r="C241" s="136" t="s">
        <v>452</v>
      </c>
      <c r="D241" s="14" t="s">
        <v>15</v>
      </c>
      <c r="E241" s="14" t="s">
        <v>56</v>
      </c>
      <c r="F241" s="15">
        <v>45369</v>
      </c>
      <c r="G241" s="16">
        <v>0.06</v>
      </c>
      <c r="H241" s="15">
        <v>45467</v>
      </c>
      <c r="I241" s="16">
        <v>0.09</v>
      </c>
      <c r="J241" s="15">
        <v>45558</v>
      </c>
      <c r="K241" s="16">
        <v>0.09</v>
      </c>
      <c r="L241" s="15">
        <v>45642</v>
      </c>
      <c r="M241" s="63">
        <v>0.09</v>
      </c>
      <c r="N241" s="17"/>
      <c r="O241" s="16"/>
      <c r="P241" s="16"/>
      <c r="Q241" s="152">
        <f t="shared" si="39"/>
        <v>0</v>
      </c>
      <c r="R241" s="152">
        <f t="shared" si="37"/>
        <v>0.06</v>
      </c>
      <c r="S241" s="152">
        <f t="shared" si="38"/>
        <v>0.15</v>
      </c>
      <c r="T241" s="18">
        <f t="shared" si="40"/>
        <v>0.32999999999999996</v>
      </c>
    </row>
    <row r="242" spans="2:20" x14ac:dyDescent="0.25">
      <c r="B242" s="117" t="s">
        <v>923</v>
      </c>
      <c r="C242" s="136" t="s">
        <v>924</v>
      </c>
      <c r="D242" s="14" t="s">
        <v>755</v>
      </c>
      <c r="E242" s="14" t="s">
        <v>475</v>
      </c>
      <c r="F242" s="15">
        <v>45387</v>
      </c>
      <c r="G242" s="16">
        <v>4.0999999999999996</v>
      </c>
      <c r="H242" s="15"/>
      <c r="I242" s="16"/>
      <c r="J242" s="15"/>
      <c r="K242" s="16"/>
      <c r="L242" s="15"/>
      <c r="M242" s="63"/>
      <c r="N242" s="17"/>
      <c r="O242" s="16"/>
      <c r="P242" s="16"/>
      <c r="Q242" s="152">
        <f t="shared" si="39"/>
        <v>0</v>
      </c>
      <c r="R242" s="152">
        <f t="shared" si="37"/>
        <v>4.0999999999999996</v>
      </c>
      <c r="S242" s="152">
        <f t="shared" si="38"/>
        <v>4.0999999999999996</v>
      </c>
      <c r="T242" s="18">
        <f t="shared" si="40"/>
        <v>4.0999999999999996</v>
      </c>
    </row>
    <row r="243" spans="2:20" x14ac:dyDescent="0.25">
      <c r="B243" s="117" t="s">
        <v>853</v>
      </c>
      <c r="C243" s="136" t="s">
        <v>854</v>
      </c>
      <c r="D243" s="14" t="s">
        <v>15</v>
      </c>
      <c r="E243" s="14" t="s">
        <v>200</v>
      </c>
      <c r="F243" s="15">
        <v>45376</v>
      </c>
      <c r="G243" s="16">
        <v>2.75</v>
      </c>
      <c r="H243" s="15"/>
      <c r="I243" s="16"/>
      <c r="J243" s="15"/>
      <c r="K243" s="16"/>
      <c r="L243" s="15"/>
      <c r="M243" s="63"/>
      <c r="N243" s="17"/>
      <c r="O243" s="16"/>
      <c r="P243" s="16"/>
      <c r="Q243" s="152">
        <f>IF(F243&lt;=Exp24Q1,G243,0)+IF(H243&lt;=Exp24Q1,I243,0)+IF(J243&lt;=Exp24Q1,K243,0)+IF(L243&lt;=Exp24Q1,M243,0)+IF(N243&lt;=Exp24Q1,O243,0)</f>
        <v>0</v>
      </c>
      <c r="R243" s="152">
        <f>IF(F243&lt;=Exp24H1,G243,0)+IF(H243&lt;=Exp24H1,I243,0)+IF(J243&lt;=Exp24H1,K243,0)+IF(L243&lt;=Exp24H1,M243,0)+IF(N243&lt;=Exp24H1,O243,0)</f>
        <v>2.75</v>
      </c>
      <c r="S243" s="152">
        <f>IF(F243&lt;=Exp24Q3,G243,0)+IF(H243&lt;=Exp24Q3,I243,0)+IF(J243&lt;=Exp24Q3,K243,0)+IF(L243&lt;=Exp24Q3,M243,0)+IF(N243&lt;=Exp24Q3,O243,0)</f>
        <v>2.75</v>
      </c>
      <c r="T243" s="18">
        <f>G243+I243+K243+M243+O243</f>
        <v>2.75</v>
      </c>
    </row>
    <row r="244" spans="2:20" x14ac:dyDescent="0.25">
      <c r="B244" s="117" t="s">
        <v>455</v>
      </c>
      <c r="C244" s="136" t="s">
        <v>456</v>
      </c>
      <c r="D244" s="14" t="s">
        <v>15</v>
      </c>
      <c r="E244" s="14" t="s">
        <v>200</v>
      </c>
      <c r="F244" s="147">
        <v>45372</v>
      </c>
      <c r="G244" s="148">
        <f>6.5*0.94386874</f>
        <v>6.1351468100000002</v>
      </c>
      <c r="H244" s="15"/>
      <c r="I244" s="16"/>
      <c r="J244" s="15"/>
      <c r="K244" s="16"/>
      <c r="L244" s="15"/>
      <c r="M244" s="63"/>
      <c r="N244" s="17"/>
      <c r="O244" s="16"/>
      <c r="P244" s="16"/>
      <c r="Q244" s="152">
        <f>IF(F244&lt;=Exp24Q1,G244,0)+IF(H244&lt;=Exp24Q1,I244,0)+IF(J244&lt;=Exp24Q1,K244,0)+IF(L244&lt;=Exp24Q1,M244,0)+IF(N244&lt;=Exp24Q1,O244,0)</f>
        <v>0</v>
      </c>
      <c r="R244" s="152">
        <f>IF(F244&lt;=Exp24H1,G244,0)+IF(H244&lt;=Exp24H1,I244,0)+IF(J244&lt;=Exp24H1,K244,0)+IF(L244&lt;=Exp24H1,M244,0)+IF(N244&lt;=Exp24H1,O244,0)</f>
        <v>6.1351468100000002</v>
      </c>
      <c r="S244" s="152">
        <f>IF(F244&lt;=Exp24Q3,G244,0)+IF(H244&lt;=Exp24Q3,I244,0)+IF(J244&lt;=Exp24Q3,K244,0)+IF(L244&lt;=Exp24Q3,M244,0)+IF(N244&lt;=Exp24Q3,O244,0)</f>
        <v>6.1351468100000002</v>
      </c>
      <c r="T244" s="18">
        <f>G244+I244+K244+M244+O244</f>
        <v>6.1351468100000002</v>
      </c>
    </row>
    <row r="245" spans="2:20" x14ac:dyDescent="0.25">
      <c r="B245" s="117" t="s">
        <v>457</v>
      </c>
      <c r="C245" s="136" t="s">
        <v>458</v>
      </c>
      <c r="D245" s="14" t="s">
        <v>15</v>
      </c>
      <c r="E245" s="14" t="s">
        <v>200</v>
      </c>
      <c r="F245" s="15">
        <v>45378</v>
      </c>
      <c r="G245" s="16">
        <v>15.15</v>
      </c>
      <c r="H245" s="15"/>
      <c r="I245" s="16"/>
      <c r="J245" s="15"/>
      <c r="K245" s="16"/>
      <c r="L245" s="15"/>
      <c r="M245" s="63"/>
      <c r="N245" s="17"/>
      <c r="O245" s="16"/>
      <c r="P245" s="16"/>
      <c r="Q245" s="152">
        <f t="shared" si="39"/>
        <v>0</v>
      </c>
      <c r="R245" s="152">
        <f t="shared" si="37"/>
        <v>15.15</v>
      </c>
      <c r="S245" s="152">
        <f t="shared" si="38"/>
        <v>15.15</v>
      </c>
      <c r="T245" s="18">
        <f t="shared" si="40"/>
        <v>15.15</v>
      </c>
    </row>
    <row r="246" spans="2:20" x14ac:dyDescent="0.25">
      <c r="B246" s="117" t="s">
        <v>461</v>
      </c>
      <c r="C246" s="136" t="s">
        <v>462</v>
      </c>
      <c r="D246" s="14" t="s">
        <v>15</v>
      </c>
      <c r="E246" s="14" t="s">
        <v>21</v>
      </c>
      <c r="F246" s="15">
        <v>45398</v>
      </c>
      <c r="G246" s="16">
        <v>6.2155399999999998</v>
      </c>
      <c r="H246" s="15"/>
      <c r="I246" s="16"/>
      <c r="J246" s="15"/>
      <c r="K246" s="16"/>
      <c r="L246" s="15"/>
      <c r="M246" s="63"/>
      <c r="N246" s="17"/>
      <c r="O246" s="16"/>
      <c r="P246" s="16"/>
      <c r="Q246" s="152">
        <f t="shared" si="39"/>
        <v>0</v>
      </c>
      <c r="R246" s="152">
        <f t="shared" si="37"/>
        <v>6.2155399999999998</v>
      </c>
      <c r="S246" s="152">
        <f t="shared" si="38"/>
        <v>6.2155399999999998</v>
      </c>
      <c r="T246" s="18">
        <f t="shared" si="40"/>
        <v>6.2155399999999998</v>
      </c>
    </row>
    <row r="247" spans="2:20" x14ac:dyDescent="0.25">
      <c r="B247" s="117" t="s">
        <v>463</v>
      </c>
      <c r="C247" s="136" t="s">
        <v>464</v>
      </c>
      <c r="D247" s="14" t="s">
        <v>15</v>
      </c>
      <c r="E247" s="14" t="s">
        <v>21</v>
      </c>
      <c r="F247" s="15">
        <v>45384</v>
      </c>
      <c r="G247" s="16">
        <v>22</v>
      </c>
      <c r="H247" s="15"/>
      <c r="I247" s="16"/>
      <c r="J247" s="15"/>
      <c r="K247" s="16"/>
      <c r="L247" s="15"/>
      <c r="M247" s="63"/>
      <c r="N247" s="17"/>
      <c r="O247" s="16"/>
      <c r="P247" s="16"/>
      <c r="Q247" s="152">
        <f t="shared" si="39"/>
        <v>0</v>
      </c>
      <c r="R247" s="152">
        <f t="shared" si="37"/>
        <v>22</v>
      </c>
      <c r="S247" s="152">
        <f t="shared" si="38"/>
        <v>22</v>
      </c>
      <c r="T247" s="18">
        <f t="shared" si="40"/>
        <v>22</v>
      </c>
    </row>
    <row r="248" spans="2:20" x14ac:dyDescent="0.25">
      <c r="B248" s="117" t="s">
        <v>467</v>
      </c>
      <c r="C248" s="136" t="s">
        <v>468</v>
      </c>
      <c r="D248" s="14" t="s">
        <v>15</v>
      </c>
      <c r="E248" s="14" t="s">
        <v>200</v>
      </c>
      <c r="F248" s="15">
        <v>45428</v>
      </c>
      <c r="G248" s="16">
        <v>3.45</v>
      </c>
      <c r="H248" s="15">
        <v>45579</v>
      </c>
      <c r="I248" s="16">
        <v>3.45</v>
      </c>
      <c r="J248" s="15"/>
      <c r="K248" s="16"/>
      <c r="L248" s="15"/>
      <c r="M248" s="63"/>
      <c r="N248" s="17"/>
      <c r="O248" s="16"/>
      <c r="P248" s="16"/>
      <c r="Q248" s="152">
        <f t="shared" si="39"/>
        <v>0</v>
      </c>
      <c r="R248" s="152">
        <f t="shared" si="37"/>
        <v>3.45</v>
      </c>
      <c r="S248" s="152">
        <f t="shared" si="38"/>
        <v>3.45</v>
      </c>
      <c r="T248" s="18">
        <f t="shared" si="40"/>
        <v>6.9</v>
      </c>
    </row>
    <row r="249" spans="2:20" x14ac:dyDescent="0.25">
      <c r="B249" s="117" t="s">
        <v>955</v>
      </c>
      <c r="C249" s="136" t="s">
        <v>956</v>
      </c>
      <c r="D249" s="14" t="s">
        <v>941</v>
      </c>
      <c r="E249" s="14" t="s">
        <v>16</v>
      </c>
      <c r="F249" s="15"/>
      <c r="G249" s="16"/>
      <c r="H249" s="15"/>
      <c r="I249" s="16"/>
      <c r="J249" s="15"/>
      <c r="K249" s="16"/>
      <c r="L249" s="15"/>
      <c r="M249" s="63"/>
      <c r="N249" s="17"/>
      <c r="O249" s="16"/>
      <c r="P249" s="16"/>
      <c r="Q249" s="152">
        <f t="shared" ref="Q249" si="49">IF(F249&lt;=Exp24Q1,G249,0)+IF(H249&lt;=Exp24Q1,I249,0)+IF(J249&lt;=Exp24Q1,K249,0)+IF(L249&lt;=Exp24Q1,M249,0)+IF(N249&lt;=Exp24Q1,O249,0)</f>
        <v>0</v>
      </c>
      <c r="R249" s="152">
        <f t="shared" ref="R249" si="50">IF(F249&lt;=Exp24H1,G249,0)+IF(H249&lt;=Exp24H1,I249,0)+IF(J249&lt;=Exp24H1,K249,0)+IF(L249&lt;=Exp24H1,M249,0)+IF(N249&lt;=Exp24H1,O249,0)</f>
        <v>0</v>
      </c>
      <c r="S249" s="152">
        <f t="shared" ref="S249" si="51">IF(F249&lt;=Exp24Q3,G249,0)+IF(H249&lt;=Exp24Q3,I249,0)+IF(J249&lt;=Exp24Q3,K249,0)+IF(L249&lt;=Exp24Q3,M249,0)+IF(N249&lt;=Exp24Q3,O249,0)</f>
        <v>0</v>
      </c>
      <c r="T249" s="18">
        <f t="shared" ref="T249" si="52">G249+I249+K249+M249+O249</f>
        <v>0</v>
      </c>
    </row>
    <row r="250" spans="2:20" x14ac:dyDescent="0.25">
      <c r="B250" s="117" t="s">
        <v>471</v>
      </c>
      <c r="C250" s="136" t="s">
        <v>472</v>
      </c>
      <c r="D250" s="14" t="s">
        <v>15</v>
      </c>
      <c r="E250" s="14" t="s">
        <v>16</v>
      </c>
      <c r="F250" s="15">
        <v>45461</v>
      </c>
      <c r="G250" s="16">
        <v>0.15</v>
      </c>
      <c r="H250" s="15">
        <v>45643</v>
      </c>
      <c r="I250" s="16">
        <v>0.15</v>
      </c>
      <c r="J250" s="15"/>
      <c r="K250" s="16"/>
      <c r="L250" s="15"/>
      <c r="M250" s="63"/>
      <c r="N250" s="17"/>
      <c r="O250" s="16"/>
      <c r="P250" s="16"/>
      <c r="Q250" s="152">
        <f t="shared" si="39"/>
        <v>0</v>
      </c>
      <c r="R250" s="152">
        <f t="shared" si="37"/>
        <v>0.15</v>
      </c>
      <c r="S250" s="152">
        <f t="shared" si="38"/>
        <v>0.15</v>
      </c>
      <c r="T250" s="18">
        <f t="shared" si="40"/>
        <v>0.3</v>
      </c>
    </row>
    <row r="251" spans="2:20" x14ac:dyDescent="0.25">
      <c r="B251" s="117" t="s">
        <v>473</v>
      </c>
      <c r="C251" s="136" t="s">
        <v>669</v>
      </c>
      <c r="D251" s="14" t="s">
        <v>755</v>
      </c>
      <c r="E251" s="14" t="s">
        <v>475</v>
      </c>
      <c r="F251" s="15">
        <v>45420</v>
      </c>
      <c r="G251" s="16">
        <v>5</v>
      </c>
      <c r="H251" s="15">
        <v>45582</v>
      </c>
      <c r="I251" s="16">
        <v>4.5</v>
      </c>
      <c r="J251" s="15"/>
      <c r="K251" s="16"/>
      <c r="L251" s="15"/>
      <c r="M251" s="63"/>
      <c r="N251" s="17"/>
      <c r="O251" s="16"/>
      <c r="P251" s="16"/>
      <c r="Q251" s="152">
        <f t="shared" si="39"/>
        <v>0</v>
      </c>
      <c r="R251" s="152">
        <f t="shared" si="37"/>
        <v>5</v>
      </c>
      <c r="S251" s="152">
        <f t="shared" si="38"/>
        <v>5</v>
      </c>
      <c r="T251" s="18">
        <f t="shared" si="40"/>
        <v>9.5</v>
      </c>
    </row>
    <row r="252" spans="2:20" x14ac:dyDescent="0.25">
      <c r="B252" s="117" t="s">
        <v>476</v>
      </c>
      <c r="C252" s="136" t="s">
        <v>477</v>
      </c>
      <c r="D252" s="14" t="s">
        <v>15</v>
      </c>
      <c r="E252" s="14" t="s">
        <v>200</v>
      </c>
      <c r="F252" s="15">
        <v>45324</v>
      </c>
      <c r="G252" s="16">
        <v>0.5</v>
      </c>
      <c r="H252" s="15">
        <v>45393</v>
      </c>
      <c r="I252" s="16">
        <v>0.5</v>
      </c>
      <c r="J252" s="15">
        <v>45504</v>
      </c>
      <c r="K252" s="16">
        <v>0.5</v>
      </c>
      <c r="L252" s="15">
        <v>45595</v>
      </c>
      <c r="M252" s="63">
        <v>0.5</v>
      </c>
      <c r="N252" s="17"/>
      <c r="O252" s="16"/>
      <c r="P252" s="16"/>
      <c r="Q252" s="152">
        <f t="shared" si="39"/>
        <v>0.5</v>
      </c>
      <c r="R252" s="152">
        <f t="shared" si="37"/>
        <v>1</v>
      </c>
      <c r="S252" s="152">
        <f t="shared" si="38"/>
        <v>1.5</v>
      </c>
      <c r="T252" s="18">
        <f t="shared" si="40"/>
        <v>2</v>
      </c>
    </row>
    <row r="253" spans="2:20" x14ac:dyDescent="0.25">
      <c r="B253" s="117" t="s">
        <v>957</v>
      </c>
      <c r="C253" s="136" t="s">
        <v>958</v>
      </c>
      <c r="D253" s="14" t="s">
        <v>941</v>
      </c>
      <c r="E253" s="14" t="s">
        <v>16</v>
      </c>
      <c r="F253" s="15">
        <v>45467</v>
      </c>
      <c r="G253" s="16">
        <v>0.22500000000000001</v>
      </c>
      <c r="H253" s="15">
        <v>45614</v>
      </c>
      <c r="I253" s="16">
        <v>0.1192</v>
      </c>
      <c r="J253" s="15"/>
      <c r="K253" s="16"/>
      <c r="L253" s="15"/>
      <c r="M253" s="63"/>
      <c r="N253" s="17"/>
      <c r="O253" s="16"/>
      <c r="P253" s="16"/>
      <c r="Q253" s="152">
        <f t="shared" ref="Q253" si="53">IF(F253&lt;=Exp24Q1,G253,0)+IF(H253&lt;=Exp24Q1,I253,0)+IF(J253&lt;=Exp24Q1,K253,0)+IF(L253&lt;=Exp24Q1,M253,0)+IF(N253&lt;=Exp24Q1,O253,0)</f>
        <v>0</v>
      </c>
      <c r="R253" s="152">
        <f t="shared" ref="R253" si="54">IF(F253&lt;=Exp24H1,G253,0)+IF(H253&lt;=Exp24H1,I253,0)+IF(J253&lt;=Exp24H1,K253,0)+IF(L253&lt;=Exp24H1,M253,0)+IF(N253&lt;=Exp24H1,O253,0)</f>
        <v>0</v>
      </c>
      <c r="S253" s="152">
        <f t="shared" ref="S253" si="55">IF(F253&lt;=Exp24Q3,G253,0)+IF(H253&lt;=Exp24Q3,I253,0)+IF(J253&lt;=Exp24Q3,K253,0)+IF(L253&lt;=Exp24Q3,M253,0)+IF(N253&lt;=Exp24Q3,O253,0)</f>
        <v>0.22500000000000001</v>
      </c>
      <c r="T253" s="18">
        <f t="shared" ref="T253" si="56">G253+I253+K253+M253+O253</f>
        <v>0.34420000000000001</v>
      </c>
    </row>
    <row r="254" spans="2:20" x14ac:dyDescent="0.25">
      <c r="B254" s="117" t="s">
        <v>932</v>
      </c>
      <c r="C254" s="136" t="s">
        <v>933</v>
      </c>
      <c r="D254" s="14" t="s">
        <v>15</v>
      </c>
      <c r="E254" s="14" t="s">
        <v>56</v>
      </c>
      <c r="F254" s="15">
        <v>45344</v>
      </c>
      <c r="G254" s="16">
        <v>0.14000000000000001</v>
      </c>
      <c r="H254" s="15">
        <v>45428</v>
      </c>
      <c r="I254" s="16">
        <v>0.14000000000000001</v>
      </c>
      <c r="J254" s="15">
        <v>45498</v>
      </c>
      <c r="K254" s="16">
        <v>0.14000000000000001</v>
      </c>
      <c r="L254" s="15">
        <v>45596</v>
      </c>
      <c r="M254" s="63">
        <v>0.14000000000000001</v>
      </c>
      <c r="N254" s="17"/>
      <c r="O254" s="16"/>
      <c r="P254" s="16"/>
      <c r="Q254" s="152">
        <f t="shared" si="39"/>
        <v>0.14000000000000001</v>
      </c>
      <c r="R254" s="152">
        <f t="shared" si="37"/>
        <v>0.28000000000000003</v>
      </c>
      <c r="S254" s="152">
        <f t="shared" si="38"/>
        <v>0.42000000000000004</v>
      </c>
      <c r="T254" s="18">
        <f t="shared" si="40"/>
        <v>0.56000000000000005</v>
      </c>
    </row>
    <row r="255" spans="2:20" x14ac:dyDescent="0.25">
      <c r="B255" s="117" t="s">
        <v>892</v>
      </c>
      <c r="C255" s="136" t="s">
        <v>893</v>
      </c>
      <c r="D255" s="14" t="s">
        <v>24</v>
      </c>
      <c r="E255" s="14" t="s">
        <v>16</v>
      </c>
      <c r="F255" s="15">
        <v>45433</v>
      </c>
      <c r="G255" s="16">
        <v>2.6</v>
      </c>
      <c r="H255" s="15">
        <v>45629</v>
      </c>
      <c r="I255" s="16">
        <v>0.85</v>
      </c>
      <c r="J255" s="15"/>
      <c r="K255" s="16"/>
      <c r="L255" s="15"/>
      <c r="M255" s="63"/>
      <c r="N255" s="17"/>
      <c r="O255" s="16"/>
      <c r="P255" s="16"/>
      <c r="Q255" s="152">
        <f t="shared" si="39"/>
        <v>0</v>
      </c>
      <c r="R255" s="152">
        <f t="shared" si="37"/>
        <v>2.6</v>
      </c>
      <c r="S255" s="152">
        <f t="shared" si="38"/>
        <v>2.6</v>
      </c>
      <c r="T255" s="18">
        <f t="shared" si="40"/>
        <v>3.45</v>
      </c>
    </row>
    <row r="256" spans="2:20" x14ac:dyDescent="0.25">
      <c r="B256" s="117" t="s">
        <v>480</v>
      </c>
      <c r="C256" s="136" t="s">
        <v>481</v>
      </c>
      <c r="D256" s="14" t="s">
        <v>237</v>
      </c>
      <c r="E256" s="14" t="s">
        <v>16</v>
      </c>
      <c r="F256" s="15">
        <v>45450</v>
      </c>
      <c r="G256" s="16">
        <v>0.21090999999999999</v>
      </c>
      <c r="H256" s="15"/>
      <c r="I256" s="16"/>
      <c r="J256" s="15"/>
      <c r="K256" s="16"/>
      <c r="L256" s="15"/>
      <c r="M256" s="63"/>
      <c r="N256" s="17"/>
      <c r="O256" s="16"/>
      <c r="P256" s="16"/>
      <c r="Q256" s="152">
        <f t="shared" si="39"/>
        <v>0</v>
      </c>
      <c r="R256" s="152">
        <f t="shared" si="37"/>
        <v>0.21090999999999999</v>
      </c>
      <c r="S256" s="152">
        <f t="shared" si="38"/>
        <v>0.21090999999999999</v>
      </c>
      <c r="T256" s="18">
        <f t="shared" si="40"/>
        <v>0.21090999999999999</v>
      </c>
    </row>
    <row r="257" spans="2:20" x14ac:dyDescent="0.25">
      <c r="B257" s="117" t="s">
        <v>482</v>
      </c>
      <c r="C257" s="136" t="s">
        <v>483</v>
      </c>
      <c r="D257" s="14" t="s">
        <v>15</v>
      </c>
      <c r="E257" s="14" t="s">
        <v>21</v>
      </c>
      <c r="F257" s="15">
        <v>45425</v>
      </c>
      <c r="G257" s="16">
        <v>6.5</v>
      </c>
      <c r="H257" s="15"/>
      <c r="I257" s="16"/>
      <c r="J257" s="15"/>
      <c r="K257" s="16"/>
      <c r="L257" s="15"/>
      <c r="M257" s="63"/>
      <c r="N257" s="17"/>
      <c r="O257" s="16"/>
      <c r="P257" s="16"/>
      <c r="Q257" s="152">
        <f t="shared" si="39"/>
        <v>0</v>
      </c>
      <c r="R257" s="152">
        <f t="shared" si="37"/>
        <v>6.5</v>
      </c>
      <c r="S257" s="152">
        <f t="shared" si="38"/>
        <v>6.5</v>
      </c>
      <c r="T257" s="18">
        <f t="shared" si="40"/>
        <v>6.5</v>
      </c>
    </row>
    <row r="258" spans="2:20" x14ac:dyDescent="0.25">
      <c r="B258" s="117" t="s">
        <v>484</v>
      </c>
      <c r="C258" s="136" t="s">
        <v>485</v>
      </c>
      <c r="D258" s="14" t="s">
        <v>15</v>
      </c>
      <c r="E258" s="14" t="s">
        <v>16</v>
      </c>
      <c r="F258" s="15">
        <v>45327</v>
      </c>
      <c r="G258" s="16">
        <v>0.15</v>
      </c>
      <c r="H258" s="15"/>
      <c r="I258" s="16"/>
      <c r="J258" s="15"/>
      <c r="K258" s="16"/>
      <c r="L258" s="15"/>
      <c r="M258" s="63"/>
      <c r="N258" s="17"/>
      <c r="O258" s="16"/>
      <c r="P258" s="16"/>
      <c r="Q258" s="152">
        <f t="shared" si="39"/>
        <v>0.15</v>
      </c>
      <c r="R258" s="152">
        <f t="shared" si="37"/>
        <v>0.15</v>
      </c>
      <c r="S258" s="152">
        <f t="shared" si="38"/>
        <v>0.15</v>
      </c>
      <c r="T258" s="18">
        <f t="shared" si="40"/>
        <v>0.15</v>
      </c>
    </row>
    <row r="259" spans="2:20" x14ac:dyDescent="0.25">
      <c r="B259" s="117" t="s">
        <v>776</v>
      </c>
      <c r="C259" s="136" t="s">
        <v>489</v>
      </c>
      <c r="D259" s="14" t="s">
        <v>24</v>
      </c>
      <c r="E259" s="14" t="s">
        <v>16</v>
      </c>
      <c r="F259" s="15">
        <v>45293</v>
      </c>
      <c r="G259" s="16">
        <v>0.74</v>
      </c>
      <c r="H259" s="15">
        <v>45371</v>
      </c>
      <c r="I259" s="16">
        <v>0.74</v>
      </c>
      <c r="J259" s="15">
        <v>45462</v>
      </c>
      <c r="K259" s="16">
        <v>0.79</v>
      </c>
      <c r="L259" s="15">
        <v>45560</v>
      </c>
      <c r="M259" s="63">
        <v>0.79</v>
      </c>
      <c r="N259" s="17"/>
      <c r="O259" s="16"/>
      <c r="P259" s="16"/>
      <c r="Q259" s="152">
        <f t="shared" si="39"/>
        <v>0.74</v>
      </c>
      <c r="R259" s="152">
        <f t="shared" si="37"/>
        <v>2.27</v>
      </c>
      <c r="S259" s="152">
        <f t="shared" si="38"/>
        <v>2.27</v>
      </c>
      <c r="T259" s="18">
        <f t="shared" si="40"/>
        <v>3.06</v>
      </c>
    </row>
    <row r="260" spans="2:20" x14ac:dyDescent="0.25">
      <c r="B260" s="117" t="s">
        <v>904</v>
      </c>
      <c r="C260" s="136" t="s">
        <v>905</v>
      </c>
      <c r="D260" s="14" t="s">
        <v>15</v>
      </c>
      <c r="E260" s="14" t="s">
        <v>200</v>
      </c>
      <c r="F260" s="15">
        <v>45407</v>
      </c>
      <c r="G260" s="16">
        <v>6.75</v>
      </c>
      <c r="H260" s="15"/>
      <c r="I260" s="16"/>
      <c r="J260" s="15"/>
      <c r="K260" s="16"/>
      <c r="L260" s="15"/>
      <c r="M260" s="63"/>
      <c r="N260" s="17"/>
      <c r="O260" s="16"/>
      <c r="P260" s="16"/>
      <c r="Q260" s="152">
        <f t="shared" si="39"/>
        <v>0</v>
      </c>
      <c r="R260" s="152">
        <f t="shared" si="37"/>
        <v>6.75</v>
      </c>
      <c r="S260" s="152">
        <f t="shared" si="38"/>
        <v>6.75</v>
      </c>
      <c r="T260" s="18">
        <f t="shared" si="40"/>
        <v>6.75</v>
      </c>
    </row>
    <row r="261" spans="2:20" x14ac:dyDescent="0.25">
      <c r="B261" s="117" t="s">
        <v>492</v>
      </c>
      <c r="C261" s="136" t="s">
        <v>493</v>
      </c>
      <c r="D261" s="14" t="s">
        <v>15</v>
      </c>
      <c r="E261" s="14" t="s">
        <v>21</v>
      </c>
      <c r="F261" s="15">
        <v>45412</v>
      </c>
      <c r="G261" s="16">
        <f>0.7/1.072*0.9776</f>
        <v>0.63835820895522388</v>
      </c>
      <c r="H261" s="15"/>
      <c r="I261" s="16"/>
      <c r="J261" s="15"/>
      <c r="K261" s="16"/>
      <c r="L261" s="15"/>
      <c r="M261" s="63"/>
      <c r="N261" s="17"/>
      <c r="O261" s="16"/>
      <c r="P261" s="16"/>
      <c r="Q261" s="152">
        <f t="shared" si="39"/>
        <v>0</v>
      </c>
      <c r="R261" s="152">
        <f t="shared" si="37"/>
        <v>0.63835820895522388</v>
      </c>
      <c r="S261" s="152">
        <f t="shared" si="38"/>
        <v>0.63835820895522388</v>
      </c>
      <c r="T261" s="18">
        <f t="shared" si="40"/>
        <v>0.63835820895522388</v>
      </c>
    </row>
    <row r="262" spans="2:20" x14ac:dyDescent="0.25">
      <c r="B262" s="117" t="s">
        <v>494</v>
      </c>
      <c r="C262" s="136" t="s">
        <v>495</v>
      </c>
      <c r="D262" s="14" t="s">
        <v>27</v>
      </c>
      <c r="E262" s="14" t="s">
        <v>16</v>
      </c>
      <c r="F262" s="15">
        <v>45408</v>
      </c>
      <c r="G262" s="16">
        <v>1.36</v>
      </c>
      <c r="H262" s="15"/>
      <c r="I262" s="16"/>
      <c r="J262" s="15"/>
      <c r="K262" s="16"/>
      <c r="L262" s="15"/>
      <c r="M262" s="63"/>
      <c r="N262" s="17"/>
      <c r="O262" s="16"/>
      <c r="P262" s="16"/>
      <c r="Q262" s="152">
        <f t="shared" si="39"/>
        <v>0</v>
      </c>
      <c r="R262" s="152">
        <f t="shared" si="37"/>
        <v>1.36</v>
      </c>
      <c r="S262" s="152">
        <f t="shared" si="38"/>
        <v>1.36</v>
      </c>
      <c r="T262" s="18">
        <f>G262+I262+K262+M262+O262</f>
        <v>1.36</v>
      </c>
    </row>
    <row r="263" spans="2:20" x14ac:dyDescent="0.25">
      <c r="B263" s="117" t="s">
        <v>496</v>
      </c>
      <c r="C263" s="136" t="s">
        <v>497</v>
      </c>
      <c r="D263" s="14" t="s">
        <v>27</v>
      </c>
      <c r="E263" s="14" t="s">
        <v>16</v>
      </c>
      <c r="F263" s="15">
        <v>45411</v>
      </c>
      <c r="G263" s="16">
        <v>0.55000000000000004</v>
      </c>
      <c r="H263" s="15">
        <v>45523</v>
      </c>
      <c r="I263" s="16">
        <v>0.25</v>
      </c>
      <c r="J263" s="15"/>
      <c r="K263" s="16"/>
      <c r="L263" s="15"/>
      <c r="M263" s="63"/>
      <c r="N263" s="17"/>
      <c r="O263" s="16"/>
      <c r="P263" s="16"/>
      <c r="Q263" s="152">
        <f t="shared" si="39"/>
        <v>0</v>
      </c>
      <c r="R263" s="152">
        <f t="shared" si="37"/>
        <v>0.55000000000000004</v>
      </c>
      <c r="S263" s="152">
        <f t="shared" si="38"/>
        <v>0.8</v>
      </c>
      <c r="T263" s="18">
        <f t="shared" si="40"/>
        <v>0.8</v>
      </c>
    </row>
    <row r="264" spans="2:20" x14ac:dyDescent="0.25">
      <c r="B264" s="117" t="s">
        <v>622</v>
      </c>
      <c r="C264" s="136" t="s">
        <v>499</v>
      </c>
      <c r="D264" s="14" t="s">
        <v>15</v>
      </c>
      <c r="E264" s="14" t="s">
        <v>16</v>
      </c>
      <c r="F264" s="15">
        <v>45426</v>
      </c>
      <c r="G264" s="16">
        <v>2.5</v>
      </c>
      <c r="H264" s="15"/>
      <c r="I264" s="16"/>
      <c r="J264" s="15"/>
      <c r="K264" s="16"/>
      <c r="L264" s="15"/>
      <c r="M264" s="63"/>
      <c r="N264" s="17"/>
      <c r="O264" s="16"/>
      <c r="P264" s="16"/>
      <c r="Q264" s="152">
        <f t="shared" si="39"/>
        <v>0</v>
      </c>
      <c r="R264" s="152">
        <f t="shared" si="37"/>
        <v>2.5</v>
      </c>
      <c r="S264" s="152">
        <f t="shared" si="38"/>
        <v>2.5</v>
      </c>
      <c r="T264" s="18">
        <f t="shared" si="40"/>
        <v>2.5</v>
      </c>
    </row>
    <row r="265" spans="2:20" x14ac:dyDescent="0.25">
      <c r="B265" s="117" t="s">
        <v>959</v>
      </c>
      <c r="C265" s="136" t="s">
        <v>960</v>
      </c>
      <c r="D265" s="14" t="s">
        <v>941</v>
      </c>
      <c r="E265" s="14" t="s">
        <v>16</v>
      </c>
      <c r="F265" s="15">
        <v>45404</v>
      </c>
      <c r="G265" s="16">
        <v>1.8028999999999999</v>
      </c>
      <c r="H265" s="15">
        <v>45614</v>
      </c>
      <c r="I265" s="16">
        <v>0.92610000000000003</v>
      </c>
      <c r="J265" s="15"/>
      <c r="K265" s="16"/>
      <c r="L265" s="15"/>
      <c r="M265" s="63"/>
      <c r="N265" s="17"/>
      <c r="O265" s="16"/>
      <c r="P265" s="16"/>
      <c r="Q265" s="152">
        <f t="shared" ref="Q265" si="57">IF(F265&lt;=Exp24Q1,G265,0)+IF(H265&lt;=Exp24Q1,I265,0)+IF(J265&lt;=Exp24Q1,K265,0)+IF(L265&lt;=Exp24Q1,M265,0)+IF(N265&lt;=Exp24Q1,O265,0)</f>
        <v>0</v>
      </c>
      <c r="R265" s="152">
        <f t="shared" ref="R265" si="58">IF(F265&lt;=Exp24H1,G265,0)+IF(H265&lt;=Exp24H1,I265,0)+IF(J265&lt;=Exp24H1,K265,0)+IF(L265&lt;=Exp24H1,M265,0)+IF(N265&lt;=Exp24H1,O265,0)</f>
        <v>1.8028999999999999</v>
      </c>
      <c r="S265" s="152">
        <f t="shared" ref="S265" si="59">IF(F265&lt;=Exp24Q3,G265,0)+IF(H265&lt;=Exp24Q3,I265,0)+IF(J265&lt;=Exp24Q3,K265,0)+IF(L265&lt;=Exp24Q3,M265,0)+IF(N265&lt;=Exp24Q3,O265,0)</f>
        <v>1.8028999999999999</v>
      </c>
      <c r="T265" s="18">
        <f t="shared" ref="T265" si="60">G265+I265+K265+M265+O265</f>
        <v>2.7290000000000001</v>
      </c>
    </row>
    <row r="266" spans="2:20" x14ac:dyDescent="0.25">
      <c r="B266" s="117" t="s">
        <v>504</v>
      </c>
      <c r="C266" s="136" t="s">
        <v>505</v>
      </c>
      <c r="D266" s="14" t="s">
        <v>15</v>
      </c>
      <c r="E266" s="14" t="s">
        <v>16</v>
      </c>
      <c r="F266" s="15">
        <v>45344</v>
      </c>
      <c r="G266" s="16">
        <v>0.42680000000000001</v>
      </c>
      <c r="H266" s="15">
        <v>45428</v>
      </c>
      <c r="I266" s="16">
        <v>0.42680000000000001</v>
      </c>
      <c r="J266" s="15">
        <v>45512</v>
      </c>
      <c r="K266" s="16">
        <v>0.43959999999999999</v>
      </c>
      <c r="L266" s="15">
        <v>45603</v>
      </c>
      <c r="M266" s="63">
        <v>0.43959999999999999</v>
      </c>
      <c r="N266" s="17"/>
      <c r="O266" s="16"/>
      <c r="P266" s="16"/>
      <c r="Q266" s="152">
        <f t="shared" si="39"/>
        <v>0.42680000000000001</v>
      </c>
      <c r="R266" s="152">
        <f t="shared" si="37"/>
        <v>0.85360000000000003</v>
      </c>
      <c r="S266" s="152">
        <f t="shared" si="38"/>
        <v>1.2932000000000001</v>
      </c>
      <c r="T266" s="18">
        <f t="shared" si="40"/>
        <v>1.7328000000000001</v>
      </c>
    </row>
    <row r="267" spans="2:20" x14ac:dyDescent="0.25">
      <c r="B267" s="117" t="s">
        <v>692</v>
      </c>
      <c r="C267" s="136" t="s">
        <v>693</v>
      </c>
      <c r="D267" s="14" t="s">
        <v>15</v>
      </c>
      <c r="E267" s="14" t="s">
        <v>16</v>
      </c>
      <c r="F267" s="15">
        <v>45456</v>
      </c>
      <c r="G267" s="16">
        <v>0.56999999999999995</v>
      </c>
      <c r="H267" s="15"/>
      <c r="I267" s="16"/>
      <c r="J267" s="15"/>
      <c r="K267" s="16"/>
      <c r="L267" s="15"/>
      <c r="M267" s="63"/>
      <c r="N267" s="17"/>
      <c r="O267" s="16"/>
      <c r="P267" s="143"/>
      <c r="Q267" s="152">
        <f t="shared" si="39"/>
        <v>0</v>
      </c>
      <c r="R267" s="152">
        <f t="shared" si="37"/>
        <v>0.56999999999999995</v>
      </c>
      <c r="S267" s="152">
        <f t="shared" si="38"/>
        <v>0.56999999999999995</v>
      </c>
      <c r="T267" s="145">
        <f t="shared" si="40"/>
        <v>0.56999999999999995</v>
      </c>
    </row>
    <row r="268" spans="2:20" x14ac:dyDescent="0.25">
      <c r="B268" s="117" t="s">
        <v>510</v>
      </c>
      <c r="C268" s="136" t="s">
        <v>511</v>
      </c>
      <c r="D268" s="14" t="s">
        <v>15</v>
      </c>
      <c r="E268" s="14" t="s">
        <v>761</v>
      </c>
      <c r="F268" s="15">
        <v>45281</v>
      </c>
      <c r="G268" s="16">
        <v>16.59</v>
      </c>
      <c r="H268" s="15">
        <v>45463</v>
      </c>
      <c r="I268" s="16">
        <v>33.19</v>
      </c>
      <c r="J268" s="15">
        <v>45624</v>
      </c>
      <c r="K268" s="16">
        <v>17.28</v>
      </c>
      <c r="L268" s="15"/>
      <c r="M268" s="63"/>
      <c r="N268" s="17"/>
      <c r="O268" s="16"/>
      <c r="P268" s="16"/>
      <c r="Q268" s="152">
        <f>IF(F268&lt;=Exp24Q1,G268,0)+IF(H268&lt;=Exp24Q1,I268,0)+IF(J268&lt;=Exp24Q1,K268,0)+IF(L268&lt;=Exp24Q1,M268,0)+IF(N268&lt;=Exp24Q1,O268,0)</f>
        <v>16.59</v>
      </c>
      <c r="R268" s="152">
        <f>IF(F268&lt;=Exp24H1,G268,0)+IF(H268&lt;=Exp24H1,I268,0)+IF(J268&lt;=Exp24H1,K268,0)+IF(L268&lt;=Exp24H1,M268,0)+IF(N268&lt;=Exp24H1,O268,0)</f>
        <v>49.78</v>
      </c>
      <c r="S268" s="152">
        <f>IF(F268&lt;=Exp24Q3,G268,0)+IF(H268&lt;=Exp24Q3,I268,0)+IF(J268&lt;=Exp24Q3,K268,0)+IF(L268&lt;=Exp24Q3,M268,0)+IF(N268&lt;=Exp24Q3,O268,0)</f>
        <v>49.78</v>
      </c>
      <c r="T268" s="18">
        <f>G268+I268+K268+M268+O268</f>
        <v>67.06</v>
      </c>
    </row>
    <row r="269" spans="2:20" x14ac:dyDescent="0.25">
      <c r="B269" s="117" t="s">
        <v>794</v>
      </c>
      <c r="C269" s="136" t="s">
        <v>795</v>
      </c>
      <c r="D269" s="14" t="s">
        <v>15</v>
      </c>
      <c r="E269" s="14" t="s">
        <v>16</v>
      </c>
      <c r="F269" s="15">
        <v>45432</v>
      </c>
      <c r="G269" s="16">
        <v>0.27</v>
      </c>
      <c r="H269" s="15">
        <v>45567</v>
      </c>
      <c r="I269" s="16">
        <v>0.24</v>
      </c>
      <c r="J269" s="15"/>
      <c r="K269" s="16"/>
      <c r="L269" s="15"/>
      <c r="M269" s="63"/>
      <c r="N269" s="17"/>
      <c r="O269" s="16"/>
      <c r="P269" s="143"/>
      <c r="Q269" s="152">
        <f t="shared" si="39"/>
        <v>0</v>
      </c>
      <c r="R269" s="152">
        <f t="shared" si="37"/>
        <v>0.27</v>
      </c>
      <c r="S269" s="152">
        <f t="shared" si="38"/>
        <v>0.27</v>
      </c>
      <c r="T269" s="145">
        <f t="shared" si="40"/>
        <v>0.51</v>
      </c>
    </row>
    <row r="270" spans="2:20" x14ac:dyDescent="0.25">
      <c r="B270" s="117" t="s">
        <v>512</v>
      </c>
      <c r="C270" s="136" t="s">
        <v>513</v>
      </c>
      <c r="D270" s="14" t="s">
        <v>24</v>
      </c>
      <c r="E270" s="14" t="s">
        <v>16</v>
      </c>
      <c r="F270" s="15">
        <v>45440</v>
      </c>
      <c r="G270" s="16">
        <v>0.4</v>
      </c>
      <c r="H270" s="15"/>
      <c r="I270" s="16"/>
      <c r="J270" s="15"/>
      <c r="K270" s="16"/>
      <c r="L270" s="15"/>
      <c r="M270" s="63"/>
      <c r="N270" s="17"/>
      <c r="O270" s="16"/>
      <c r="P270" s="16"/>
      <c r="Q270" s="152">
        <f t="shared" si="39"/>
        <v>0</v>
      </c>
      <c r="R270" s="152">
        <f t="shared" si="37"/>
        <v>0.4</v>
      </c>
      <c r="S270" s="152">
        <f t="shared" si="38"/>
        <v>0.4</v>
      </c>
      <c r="T270" s="18">
        <f t="shared" si="40"/>
        <v>0.4</v>
      </c>
    </row>
    <row r="271" spans="2:20" x14ac:dyDescent="0.25">
      <c r="B271" s="117" t="s">
        <v>514</v>
      </c>
      <c r="C271" s="136" t="s">
        <v>515</v>
      </c>
      <c r="D271" s="14" t="s">
        <v>24</v>
      </c>
      <c r="E271" s="14" t="s">
        <v>16</v>
      </c>
      <c r="F271" s="15"/>
      <c r="G271" s="16"/>
      <c r="H271" s="15"/>
      <c r="I271" s="16"/>
      <c r="J271" s="15"/>
      <c r="K271" s="16"/>
      <c r="L271" s="15"/>
      <c r="M271" s="63"/>
      <c r="N271" s="17"/>
      <c r="O271" s="16"/>
      <c r="P271" s="16"/>
      <c r="Q271" s="152">
        <f t="shared" si="39"/>
        <v>0</v>
      </c>
      <c r="R271" s="152">
        <f t="shared" si="37"/>
        <v>0</v>
      </c>
      <c r="S271" s="152">
        <f t="shared" si="38"/>
        <v>0</v>
      </c>
      <c r="T271" s="18">
        <f t="shared" si="40"/>
        <v>0</v>
      </c>
    </row>
    <row r="272" spans="2:20" x14ac:dyDescent="0.25">
      <c r="B272" s="117" t="s">
        <v>908</v>
      </c>
      <c r="C272" s="136" t="s">
        <v>328</v>
      </c>
      <c r="D272" s="14" t="s">
        <v>15</v>
      </c>
      <c r="E272" s="14" t="s">
        <v>16</v>
      </c>
      <c r="F272" s="15">
        <v>45376</v>
      </c>
      <c r="G272" s="16">
        <v>0.68</v>
      </c>
      <c r="H272" s="15">
        <v>45565</v>
      </c>
      <c r="I272" s="16">
        <v>0.67</v>
      </c>
      <c r="J272" s="15"/>
      <c r="K272" s="16"/>
      <c r="L272" s="15"/>
      <c r="M272" s="63"/>
      <c r="N272" s="17"/>
      <c r="O272" s="16"/>
      <c r="P272" s="16"/>
      <c r="Q272" s="152">
        <f t="shared" si="39"/>
        <v>0</v>
      </c>
      <c r="R272" s="152">
        <f t="shared" si="37"/>
        <v>0.68</v>
      </c>
      <c r="S272" s="152">
        <f t="shared" si="38"/>
        <v>0.68</v>
      </c>
      <c r="T272" s="18">
        <f t="shared" si="40"/>
        <v>1.35</v>
      </c>
    </row>
    <row r="273" spans="2:20" x14ac:dyDescent="0.25">
      <c r="B273" s="117" t="s">
        <v>925</v>
      </c>
      <c r="C273" s="136" t="s">
        <v>926</v>
      </c>
      <c r="D273" s="14" t="s">
        <v>755</v>
      </c>
      <c r="E273" s="14" t="s">
        <v>475</v>
      </c>
      <c r="F273" s="15">
        <v>45341</v>
      </c>
      <c r="G273" s="16">
        <v>1.1359999999999999</v>
      </c>
      <c r="H273" s="15">
        <v>45411</v>
      </c>
      <c r="I273" s="16">
        <v>1.1919999999999999</v>
      </c>
      <c r="J273" s="15">
        <v>45502</v>
      </c>
      <c r="K273" s="16">
        <v>1.1839999999999999</v>
      </c>
      <c r="L273" s="15">
        <v>45593</v>
      </c>
      <c r="M273" s="63">
        <v>1.18</v>
      </c>
      <c r="N273" s="17"/>
      <c r="O273" s="16"/>
      <c r="P273" s="16"/>
      <c r="Q273" s="152">
        <f t="shared" si="39"/>
        <v>1.1359999999999999</v>
      </c>
      <c r="R273" s="152">
        <f t="shared" si="37"/>
        <v>2.3279999999999998</v>
      </c>
      <c r="S273" s="152">
        <f t="shared" si="38"/>
        <v>3.5119999999999996</v>
      </c>
      <c r="T273" s="18">
        <f t="shared" si="40"/>
        <v>4.6919999999999993</v>
      </c>
    </row>
    <row r="274" spans="2:20" x14ac:dyDescent="0.25">
      <c r="B274" s="117" t="s">
        <v>516</v>
      </c>
      <c r="C274" s="136" t="s">
        <v>517</v>
      </c>
      <c r="D274" s="14" t="s">
        <v>24</v>
      </c>
      <c r="E274" s="14" t="s">
        <v>16</v>
      </c>
      <c r="F274" s="15">
        <v>45420</v>
      </c>
      <c r="G274" s="16">
        <v>1.25</v>
      </c>
      <c r="H274" s="15"/>
      <c r="I274" s="16"/>
      <c r="J274" s="15"/>
      <c r="K274" s="16"/>
      <c r="L274" s="15"/>
      <c r="M274" s="63"/>
      <c r="N274" s="17"/>
      <c r="O274" s="16"/>
      <c r="P274" s="16"/>
      <c r="Q274" s="152">
        <f t="shared" si="39"/>
        <v>0</v>
      </c>
      <c r="R274" s="152">
        <f t="shared" si="37"/>
        <v>1.25</v>
      </c>
      <c r="S274" s="152">
        <f t="shared" si="38"/>
        <v>1.25</v>
      </c>
      <c r="T274" s="18">
        <f t="shared" si="40"/>
        <v>1.25</v>
      </c>
    </row>
    <row r="275" spans="2:20" x14ac:dyDescent="0.25">
      <c r="B275" s="117" t="s">
        <v>727</v>
      </c>
      <c r="C275" s="136" t="s">
        <v>728</v>
      </c>
      <c r="D275" s="14" t="s">
        <v>24</v>
      </c>
      <c r="E275" s="14" t="s">
        <v>16</v>
      </c>
      <c r="F275" s="15">
        <v>45411</v>
      </c>
      <c r="G275" s="16">
        <v>2</v>
      </c>
      <c r="H275" s="15"/>
      <c r="I275" s="16"/>
      <c r="J275" s="15"/>
      <c r="K275" s="16"/>
      <c r="L275" s="15"/>
      <c r="M275" s="63"/>
      <c r="N275" s="17"/>
      <c r="O275" s="16"/>
      <c r="P275" s="16"/>
      <c r="Q275" s="152">
        <f t="shared" si="39"/>
        <v>0</v>
      </c>
      <c r="R275" s="152">
        <f t="shared" ref="R275:R288" si="61">IF(F275&lt;=Exp24H1,G275,0)+IF(H275&lt;=Exp24H1,I275,0)+IF(J275&lt;=Exp24H1,K275,0)+IF(L275&lt;=Exp24H1,M275,0)+IF(N275&lt;=Exp24H1,O275,0)</f>
        <v>2</v>
      </c>
      <c r="S275" s="152">
        <f t="shared" ref="S275:S288" si="62">IF(F275&lt;=Exp24Q3,G275,0)+IF(H275&lt;=Exp24Q3,I275,0)+IF(J275&lt;=Exp24Q3,K275,0)+IF(L275&lt;=Exp24Q3,M275,0)+IF(N275&lt;=Exp24Q3,O275,0)</f>
        <v>2</v>
      </c>
      <c r="T275" s="18">
        <f t="shared" si="40"/>
        <v>2</v>
      </c>
    </row>
    <row r="276" spans="2:20" x14ac:dyDescent="0.25">
      <c r="B276" s="117" t="s">
        <v>742</v>
      </c>
      <c r="C276" s="136" t="s">
        <v>743</v>
      </c>
      <c r="D276" s="14" t="s">
        <v>15</v>
      </c>
      <c r="E276" s="14" t="s">
        <v>16</v>
      </c>
      <c r="F276" s="15">
        <v>45439</v>
      </c>
      <c r="G276" s="16">
        <v>1.4</v>
      </c>
      <c r="H276" s="15"/>
      <c r="I276" s="16"/>
      <c r="J276" s="15"/>
      <c r="K276" s="16"/>
      <c r="L276" s="15"/>
      <c r="M276" s="63"/>
      <c r="N276" s="17"/>
      <c r="O276" s="16"/>
      <c r="P276" s="16"/>
      <c r="Q276" s="152">
        <f t="shared" si="39"/>
        <v>0</v>
      </c>
      <c r="R276" s="152">
        <f t="shared" si="61"/>
        <v>1.4</v>
      </c>
      <c r="S276" s="152">
        <f t="shared" si="62"/>
        <v>1.4</v>
      </c>
      <c r="T276" s="18">
        <f t="shared" si="40"/>
        <v>1.4</v>
      </c>
    </row>
    <row r="277" spans="2:20" x14ac:dyDescent="0.25">
      <c r="B277" s="117" t="s">
        <v>520</v>
      </c>
      <c r="C277" s="136" t="s">
        <v>521</v>
      </c>
      <c r="D277" s="14" t="s">
        <v>24</v>
      </c>
      <c r="E277" s="14" t="s">
        <v>16</v>
      </c>
      <c r="F277" s="15">
        <v>45405</v>
      </c>
      <c r="G277" s="16">
        <v>3.45</v>
      </c>
      <c r="H277" s="15">
        <v>45580</v>
      </c>
      <c r="I277" s="16">
        <v>1.05</v>
      </c>
      <c r="J277" s="15"/>
      <c r="K277" s="16"/>
      <c r="L277" s="15"/>
      <c r="M277" s="63"/>
      <c r="N277" s="17"/>
      <c r="O277" s="16"/>
      <c r="P277" s="16"/>
      <c r="Q277" s="152">
        <f t="shared" si="39"/>
        <v>0</v>
      </c>
      <c r="R277" s="152">
        <f t="shared" si="61"/>
        <v>3.45</v>
      </c>
      <c r="S277" s="152">
        <f t="shared" si="62"/>
        <v>3.45</v>
      </c>
      <c r="T277" s="18">
        <f t="shared" si="40"/>
        <v>4.5</v>
      </c>
    </row>
    <row r="278" spans="2:20" x14ac:dyDescent="0.25">
      <c r="B278" s="117" t="s">
        <v>526</v>
      </c>
      <c r="C278" s="136" t="s">
        <v>527</v>
      </c>
      <c r="D278" s="14" t="s">
        <v>15</v>
      </c>
      <c r="E278" s="14" t="s">
        <v>761</v>
      </c>
      <c r="F278" s="15">
        <v>45449</v>
      </c>
      <c r="G278" s="16">
        <f>0.045*100*0.85048</f>
        <v>3.8271600000000001</v>
      </c>
      <c r="H278" s="15">
        <v>45617</v>
      </c>
      <c r="I278" s="16">
        <f>0.0225*100*0.8338</f>
        <v>1.87605</v>
      </c>
      <c r="J278" s="15"/>
      <c r="K278" s="16"/>
      <c r="L278" s="15"/>
      <c r="M278" s="63"/>
      <c r="N278" s="17"/>
      <c r="O278" s="16"/>
      <c r="P278" s="16"/>
      <c r="Q278" s="152">
        <f t="shared" si="39"/>
        <v>0</v>
      </c>
      <c r="R278" s="152">
        <f t="shared" si="61"/>
        <v>3.8271600000000001</v>
      </c>
      <c r="S278" s="152">
        <f t="shared" si="62"/>
        <v>3.8271600000000001</v>
      </c>
      <c r="T278" s="18">
        <f t="shared" si="40"/>
        <v>5.7032100000000003</v>
      </c>
    </row>
    <row r="279" spans="2:20" x14ac:dyDescent="0.25">
      <c r="B279" s="117" t="s">
        <v>528</v>
      </c>
      <c r="C279" s="136" t="s">
        <v>529</v>
      </c>
      <c r="D279" s="14" t="s">
        <v>15</v>
      </c>
      <c r="E279" s="14" t="s">
        <v>16</v>
      </c>
      <c r="F279" s="15">
        <v>45442</v>
      </c>
      <c r="G279" s="16">
        <v>9.06</v>
      </c>
      <c r="H279" s="15"/>
      <c r="I279" s="16"/>
      <c r="J279" s="15"/>
      <c r="K279" s="16"/>
      <c r="L279" s="15"/>
      <c r="M279" s="63"/>
      <c r="N279" s="17"/>
      <c r="O279" s="16"/>
      <c r="P279" s="16"/>
      <c r="Q279" s="152">
        <f t="shared" ref="Q279:Q288" si="63">IF(F279&lt;=Exp24Q1,G279,0)+IF(H279&lt;=Exp24Q1,I279,0)+IF(J279&lt;=Exp24Q1,K279,0)+IF(L279&lt;=Exp24Q1,M279,0)+IF(N279&lt;=Exp24Q1,O279,0)</f>
        <v>0</v>
      </c>
      <c r="R279" s="152">
        <f t="shared" si="61"/>
        <v>9.06</v>
      </c>
      <c r="S279" s="152">
        <f t="shared" si="62"/>
        <v>9.06</v>
      </c>
      <c r="T279" s="18">
        <f t="shared" si="40"/>
        <v>9.06</v>
      </c>
    </row>
    <row r="280" spans="2:20" x14ac:dyDescent="0.25">
      <c r="B280" s="117" t="s">
        <v>530</v>
      </c>
      <c r="C280" s="136" t="s">
        <v>531</v>
      </c>
      <c r="D280" s="14" t="s">
        <v>15</v>
      </c>
      <c r="E280" s="14" t="s">
        <v>200</v>
      </c>
      <c r="F280" s="147">
        <v>45379</v>
      </c>
      <c r="G280" s="148">
        <f>7.5*0.96617813</f>
        <v>7.246335975</v>
      </c>
      <c r="H280" s="15"/>
      <c r="I280" s="16"/>
      <c r="J280" s="15"/>
      <c r="K280" s="16"/>
      <c r="L280" s="15"/>
      <c r="M280" s="63"/>
      <c r="N280" s="17"/>
      <c r="O280" s="16"/>
      <c r="P280" s="16"/>
      <c r="Q280" s="152">
        <f t="shared" si="63"/>
        <v>0</v>
      </c>
      <c r="R280" s="152">
        <f t="shared" si="61"/>
        <v>7.246335975</v>
      </c>
      <c r="S280" s="152">
        <f t="shared" si="62"/>
        <v>7.246335975</v>
      </c>
      <c r="T280" s="18">
        <f t="shared" si="40"/>
        <v>7.246335975</v>
      </c>
    </row>
    <row r="281" spans="2:20" x14ac:dyDescent="0.25">
      <c r="B281" s="117" t="s">
        <v>927</v>
      </c>
      <c r="C281" s="136" t="s">
        <v>928</v>
      </c>
      <c r="D281" s="14" t="s">
        <v>15</v>
      </c>
      <c r="E281" s="14" t="s">
        <v>200</v>
      </c>
      <c r="F281" s="15"/>
      <c r="G281" s="16"/>
      <c r="H281" s="15"/>
      <c r="I281" s="16"/>
      <c r="J281" s="15"/>
      <c r="K281" s="16"/>
      <c r="L281" s="15"/>
      <c r="M281" s="63"/>
      <c r="N281" s="17"/>
      <c r="O281" s="16"/>
      <c r="P281" s="16"/>
      <c r="Q281" s="152">
        <f t="shared" si="63"/>
        <v>0</v>
      </c>
      <c r="R281" s="152">
        <f t="shared" si="61"/>
        <v>0</v>
      </c>
      <c r="S281" s="152">
        <f t="shared" si="62"/>
        <v>0</v>
      </c>
      <c r="T281" s="18">
        <f t="shared" ref="T281:T344" si="64">G281+I281+K281+M281+O281</f>
        <v>0</v>
      </c>
    </row>
    <row r="282" spans="2:20" x14ac:dyDescent="0.25">
      <c r="B282" s="117" t="s">
        <v>532</v>
      </c>
      <c r="C282" s="136" t="s">
        <v>533</v>
      </c>
      <c r="D282" s="14" t="s">
        <v>15</v>
      </c>
      <c r="E282" s="14" t="s">
        <v>16</v>
      </c>
      <c r="F282" s="15">
        <v>45421</v>
      </c>
      <c r="G282" s="16">
        <v>0.9</v>
      </c>
      <c r="H282" s="15"/>
      <c r="I282" s="16"/>
      <c r="J282" s="15"/>
      <c r="K282" s="16"/>
      <c r="L282" s="15"/>
      <c r="M282" s="63"/>
      <c r="N282" s="17"/>
      <c r="O282" s="16"/>
      <c r="P282" s="16"/>
      <c r="Q282" s="152">
        <f t="shared" si="63"/>
        <v>0</v>
      </c>
      <c r="R282" s="152">
        <f t="shared" si="61"/>
        <v>0.9</v>
      </c>
      <c r="S282" s="152">
        <f t="shared" si="62"/>
        <v>0.9</v>
      </c>
      <c r="T282" s="18">
        <f t="shared" si="64"/>
        <v>0.9</v>
      </c>
    </row>
    <row r="283" spans="2:20" x14ac:dyDescent="0.25">
      <c r="B283" s="117" t="s">
        <v>534</v>
      </c>
      <c r="C283" s="136" t="s">
        <v>535</v>
      </c>
      <c r="D283" s="14" t="s">
        <v>15</v>
      </c>
      <c r="E283" s="14" t="s">
        <v>16</v>
      </c>
      <c r="F283" s="15">
        <v>45408</v>
      </c>
      <c r="G283" s="16">
        <v>1.5</v>
      </c>
      <c r="H283" s="15"/>
      <c r="I283" s="16"/>
      <c r="J283" s="15"/>
      <c r="K283" s="16"/>
      <c r="L283" s="15"/>
      <c r="M283" s="63"/>
      <c r="N283" s="17"/>
      <c r="O283" s="16"/>
      <c r="P283" s="16"/>
      <c r="Q283" s="152">
        <f t="shared" si="63"/>
        <v>0</v>
      </c>
      <c r="R283" s="152">
        <f t="shared" si="61"/>
        <v>1.5</v>
      </c>
      <c r="S283" s="152">
        <f t="shared" si="62"/>
        <v>1.5</v>
      </c>
      <c r="T283" s="18">
        <f t="shared" si="64"/>
        <v>1.5</v>
      </c>
    </row>
    <row r="284" spans="2:20" x14ac:dyDescent="0.25">
      <c r="B284" s="117" t="s">
        <v>744</v>
      </c>
      <c r="C284" s="136" t="s">
        <v>745</v>
      </c>
      <c r="D284" s="14" t="s">
        <v>15</v>
      </c>
      <c r="E284" s="14" t="s">
        <v>16</v>
      </c>
      <c r="F284" s="15">
        <v>45422</v>
      </c>
      <c r="G284" s="16">
        <v>0.9</v>
      </c>
      <c r="H284" s="15"/>
      <c r="I284" s="16"/>
      <c r="J284" s="15"/>
      <c r="K284" s="16"/>
      <c r="L284" s="15"/>
      <c r="M284" s="63"/>
      <c r="N284" s="17"/>
      <c r="O284" s="16"/>
      <c r="P284" s="16"/>
      <c r="Q284" s="152">
        <f t="shared" si="63"/>
        <v>0</v>
      </c>
      <c r="R284" s="152">
        <f t="shared" si="61"/>
        <v>0.9</v>
      </c>
      <c r="S284" s="152">
        <f t="shared" si="62"/>
        <v>0.9</v>
      </c>
      <c r="T284" s="18">
        <f t="shared" si="64"/>
        <v>0.9</v>
      </c>
    </row>
    <row r="285" spans="2:20" x14ac:dyDescent="0.25">
      <c r="B285" s="117" t="s">
        <v>542</v>
      </c>
      <c r="C285" s="136" t="s">
        <v>543</v>
      </c>
      <c r="D285" s="14" t="s">
        <v>15</v>
      </c>
      <c r="E285" s="14" t="s">
        <v>16</v>
      </c>
      <c r="F285" s="15">
        <v>45422</v>
      </c>
      <c r="G285" s="16">
        <v>1.36</v>
      </c>
      <c r="H285" s="15">
        <v>45531</v>
      </c>
      <c r="I285" s="16">
        <v>0.83</v>
      </c>
      <c r="J285" s="15"/>
      <c r="K285" s="16"/>
      <c r="L285" s="15"/>
      <c r="M285" s="63"/>
      <c r="N285" s="17"/>
      <c r="O285" s="16"/>
      <c r="P285" s="16"/>
      <c r="Q285" s="152">
        <f t="shared" si="63"/>
        <v>0</v>
      </c>
      <c r="R285" s="152">
        <f t="shared" si="61"/>
        <v>1.36</v>
      </c>
      <c r="S285" s="152">
        <f t="shared" si="62"/>
        <v>2.19</v>
      </c>
      <c r="T285" s="18">
        <f t="shared" si="64"/>
        <v>2.19</v>
      </c>
    </row>
    <row r="286" spans="2:20" x14ac:dyDescent="0.25">
      <c r="B286" s="117" t="s">
        <v>544</v>
      </c>
      <c r="C286" s="136" t="s">
        <v>545</v>
      </c>
      <c r="D286" s="14" t="s">
        <v>15</v>
      </c>
      <c r="E286" s="14" t="s">
        <v>761</v>
      </c>
      <c r="F286" s="15">
        <v>45449</v>
      </c>
      <c r="G286" s="16">
        <v>24.4</v>
      </c>
      <c r="H286" s="15">
        <v>45575</v>
      </c>
      <c r="I286" s="16">
        <v>15</v>
      </c>
      <c r="J286" s="15"/>
      <c r="K286" s="16"/>
      <c r="L286" s="15"/>
      <c r="M286" s="63"/>
      <c r="N286" s="17"/>
      <c r="O286" s="16"/>
      <c r="P286" s="16"/>
      <c r="Q286" s="152">
        <f t="shared" si="63"/>
        <v>0</v>
      </c>
      <c r="R286" s="152">
        <f t="shared" si="61"/>
        <v>24.4</v>
      </c>
      <c r="S286" s="152">
        <f t="shared" si="62"/>
        <v>24.4</v>
      </c>
      <c r="T286" s="18">
        <f t="shared" si="64"/>
        <v>39.4</v>
      </c>
    </row>
    <row r="287" spans="2:20" x14ac:dyDescent="0.25">
      <c r="B287" s="117" t="s">
        <v>769</v>
      </c>
      <c r="C287" s="136" t="s">
        <v>770</v>
      </c>
      <c r="D287" s="14" t="s">
        <v>755</v>
      </c>
      <c r="E287" s="14" t="s">
        <v>475</v>
      </c>
      <c r="F287" s="15">
        <v>45441</v>
      </c>
      <c r="G287" s="16">
        <v>5</v>
      </c>
      <c r="H287" s="15"/>
      <c r="I287" s="16"/>
      <c r="J287" s="15"/>
      <c r="K287" s="16"/>
      <c r="L287" s="15"/>
      <c r="M287" s="63"/>
      <c r="N287" s="17"/>
      <c r="O287" s="16"/>
      <c r="P287" s="16"/>
      <c r="Q287" s="152">
        <f t="shared" si="63"/>
        <v>0</v>
      </c>
      <c r="R287" s="152">
        <f t="shared" si="61"/>
        <v>5</v>
      </c>
      <c r="S287" s="152">
        <f t="shared" si="62"/>
        <v>5</v>
      </c>
      <c r="T287" s="18">
        <f t="shared" si="64"/>
        <v>5</v>
      </c>
    </row>
    <row r="288" spans="2:20" x14ac:dyDescent="0.25">
      <c r="B288" s="117" t="s">
        <v>548</v>
      </c>
      <c r="C288" s="136" t="s">
        <v>549</v>
      </c>
      <c r="D288" s="14" t="s">
        <v>15</v>
      </c>
      <c r="E288" s="14" t="s">
        <v>21</v>
      </c>
      <c r="F288" s="15">
        <v>45394</v>
      </c>
      <c r="G288" s="16">
        <v>26</v>
      </c>
      <c r="H288" s="15"/>
      <c r="I288" s="16"/>
      <c r="J288" s="15"/>
      <c r="K288" s="16"/>
      <c r="L288" s="15"/>
      <c r="M288" s="63"/>
      <c r="N288" s="17"/>
      <c r="O288" s="16"/>
      <c r="P288" s="16"/>
      <c r="Q288" s="152">
        <f t="shared" si="63"/>
        <v>0</v>
      </c>
      <c r="R288" s="152">
        <f t="shared" si="61"/>
        <v>26</v>
      </c>
      <c r="S288" s="152">
        <f t="shared" si="62"/>
        <v>26</v>
      </c>
      <c r="T288" s="18">
        <f t="shared" si="64"/>
        <v>26</v>
      </c>
    </row>
    <row r="289" spans="2:20" x14ac:dyDescent="0.25">
      <c r="B289" s="134" t="s">
        <v>557</v>
      </c>
      <c r="C289" s="135" t="s">
        <v>584</v>
      </c>
      <c r="D289" s="135" t="s">
        <v>55</v>
      </c>
      <c r="E289" s="22" t="s">
        <v>56</v>
      </c>
      <c r="F289" s="23">
        <v>45337</v>
      </c>
      <c r="G289" s="24">
        <v>1.51</v>
      </c>
      <c r="H289" s="23">
        <v>45435</v>
      </c>
      <c r="I289" s="24">
        <v>0.7</v>
      </c>
      <c r="J289" s="23">
        <v>45530</v>
      </c>
      <c r="K289" s="24">
        <v>0.7</v>
      </c>
      <c r="L289" s="23">
        <v>45611</v>
      </c>
      <c r="M289" s="24">
        <v>0.7</v>
      </c>
      <c r="N289" s="25"/>
      <c r="O289" s="24"/>
      <c r="P289" s="24"/>
      <c r="Q289" s="24"/>
      <c r="R289" s="24"/>
      <c r="S289" s="24"/>
      <c r="T289" s="26">
        <f t="shared" si="64"/>
        <v>3.6100000000000003</v>
      </c>
    </row>
    <row r="290" spans="2:20" x14ac:dyDescent="0.25">
      <c r="B290" s="134" t="s">
        <v>563</v>
      </c>
      <c r="C290" s="135" t="s">
        <v>590</v>
      </c>
      <c r="D290" s="135" t="s">
        <v>55</v>
      </c>
      <c r="E290" s="22" t="s">
        <v>56</v>
      </c>
      <c r="F290" s="23">
        <v>45394</v>
      </c>
      <c r="G290" s="24">
        <v>1.55</v>
      </c>
      <c r="H290" s="23">
        <v>45488</v>
      </c>
      <c r="I290" s="24">
        <v>1.55</v>
      </c>
      <c r="J290" s="23">
        <v>45580</v>
      </c>
      <c r="K290" s="24">
        <v>1.55</v>
      </c>
      <c r="L290" s="23">
        <v>45672</v>
      </c>
      <c r="M290" s="24">
        <v>1.64</v>
      </c>
      <c r="N290" s="25"/>
      <c r="O290" s="24"/>
      <c r="P290" s="24"/>
      <c r="Q290" s="24"/>
      <c r="R290" s="24"/>
      <c r="S290" s="24"/>
      <c r="T290" s="26">
        <f t="shared" si="64"/>
        <v>6.29</v>
      </c>
    </row>
    <row r="291" spans="2:20" x14ac:dyDescent="0.25">
      <c r="B291" s="134" t="s">
        <v>554</v>
      </c>
      <c r="C291" s="135" t="s">
        <v>581</v>
      </c>
      <c r="D291" s="135" t="s">
        <v>55</v>
      </c>
      <c r="E291" s="22" t="s">
        <v>56</v>
      </c>
      <c r="F291" s="23">
        <v>45373</v>
      </c>
      <c r="G291" s="24">
        <v>0.98</v>
      </c>
      <c r="H291" s="23">
        <v>45457</v>
      </c>
      <c r="I291" s="24">
        <v>0.98</v>
      </c>
      <c r="J291" s="23">
        <v>45551</v>
      </c>
      <c r="K291" s="24">
        <v>1.02</v>
      </c>
      <c r="L291" s="23">
        <v>45652</v>
      </c>
      <c r="M291" s="24">
        <v>1.02</v>
      </c>
      <c r="N291" s="25"/>
      <c r="O291" s="24"/>
      <c r="P291" s="24"/>
      <c r="Q291" s="24"/>
      <c r="R291" s="24"/>
      <c r="S291" s="24"/>
      <c r="T291" s="26">
        <f t="shared" si="64"/>
        <v>4</v>
      </c>
    </row>
    <row r="292" spans="2:20" x14ac:dyDescent="0.25">
      <c r="B292" s="134" t="s">
        <v>53</v>
      </c>
      <c r="C292" s="137" t="s">
        <v>54</v>
      </c>
      <c r="D292" s="135" t="s">
        <v>55</v>
      </c>
      <c r="E292" s="22" t="s">
        <v>56</v>
      </c>
      <c r="F292" s="23"/>
      <c r="G292" s="24"/>
      <c r="H292" s="23"/>
      <c r="I292" s="24"/>
      <c r="J292" s="23"/>
      <c r="K292" s="24"/>
      <c r="L292" s="23"/>
      <c r="M292" s="24"/>
      <c r="N292" s="25"/>
      <c r="O292" s="24"/>
      <c r="P292" s="24"/>
      <c r="Q292" s="24"/>
      <c r="R292" s="24"/>
      <c r="S292" s="24"/>
      <c r="T292" s="26">
        <f t="shared" si="64"/>
        <v>0</v>
      </c>
    </row>
    <row r="293" spans="2:20" x14ac:dyDescent="0.25">
      <c r="B293" s="134" t="s">
        <v>556</v>
      </c>
      <c r="C293" s="137" t="s">
        <v>583</v>
      </c>
      <c r="D293" s="135" t="s">
        <v>55</v>
      </c>
      <c r="E293" s="22" t="s">
        <v>56</v>
      </c>
      <c r="F293" s="23">
        <v>45337</v>
      </c>
      <c r="G293" s="24">
        <v>2.25</v>
      </c>
      <c r="H293" s="23">
        <v>45428</v>
      </c>
      <c r="I293" s="24">
        <v>2.25</v>
      </c>
      <c r="J293" s="23">
        <v>45520</v>
      </c>
      <c r="K293" s="24">
        <v>2.25</v>
      </c>
      <c r="L293" s="23">
        <v>45614</v>
      </c>
      <c r="M293" s="24">
        <v>2.25</v>
      </c>
      <c r="N293" s="25"/>
      <c r="O293" s="24"/>
      <c r="P293" s="24"/>
      <c r="Q293" s="24"/>
      <c r="R293" s="24"/>
      <c r="S293" s="24"/>
      <c r="T293" s="26">
        <f t="shared" si="64"/>
        <v>9</v>
      </c>
    </row>
    <row r="294" spans="2:20" x14ac:dyDescent="0.25">
      <c r="B294" s="134" t="s">
        <v>61</v>
      </c>
      <c r="C294" s="137" t="s">
        <v>62</v>
      </c>
      <c r="D294" s="135" t="s">
        <v>55</v>
      </c>
      <c r="E294" s="22" t="s">
        <v>56</v>
      </c>
      <c r="F294" s="23">
        <v>45331</v>
      </c>
      <c r="G294" s="24">
        <v>0.24</v>
      </c>
      <c r="H294" s="23">
        <v>45422</v>
      </c>
      <c r="I294" s="24">
        <v>0.25</v>
      </c>
      <c r="J294" s="23">
        <v>45516</v>
      </c>
      <c r="K294" s="24">
        <v>0.25</v>
      </c>
      <c r="L294" s="23">
        <v>45604</v>
      </c>
      <c r="M294" s="24">
        <v>0.25</v>
      </c>
      <c r="N294" s="25"/>
      <c r="O294" s="24"/>
      <c r="P294" s="24"/>
      <c r="Q294" s="24"/>
      <c r="R294" s="24"/>
      <c r="S294" s="24"/>
      <c r="T294" s="26">
        <f t="shared" si="64"/>
        <v>0.99</v>
      </c>
    </row>
    <row r="295" spans="2:20" x14ac:dyDescent="0.25">
      <c r="B295" s="134" t="s">
        <v>71</v>
      </c>
      <c r="C295" s="137" t="s">
        <v>72</v>
      </c>
      <c r="D295" s="135" t="s">
        <v>55</v>
      </c>
      <c r="E295" s="22" t="s">
        <v>56</v>
      </c>
      <c r="F295" s="23">
        <v>45539</v>
      </c>
      <c r="G295" s="24">
        <v>0.27750000000000002</v>
      </c>
      <c r="H295" s="23">
        <v>45483</v>
      </c>
      <c r="I295" s="24">
        <v>0.27750000000000002</v>
      </c>
      <c r="J295" s="23">
        <v>45575</v>
      </c>
      <c r="K295" s="24">
        <v>0.27750000000000002</v>
      </c>
      <c r="L295" s="23">
        <v>45667</v>
      </c>
      <c r="M295" s="24">
        <v>0.27750000000000002</v>
      </c>
      <c r="N295" s="25"/>
      <c r="O295" s="24"/>
      <c r="P295" s="24"/>
      <c r="Q295" s="24"/>
      <c r="R295" s="24"/>
      <c r="S295" s="24"/>
      <c r="T295" s="26">
        <f t="shared" si="64"/>
        <v>1.1100000000000001</v>
      </c>
    </row>
    <row r="296" spans="2:20" x14ac:dyDescent="0.25">
      <c r="B296" s="134" t="s">
        <v>112</v>
      </c>
      <c r="C296" s="137" t="s">
        <v>113</v>
      </c>
      <c r="D296" s="135" t="s">
        <v>55</v>
      </c>
      <c r="E296" s="22" t="s">
        <v>56</v>
      </c>
      <c r="F296" s="23">
        <v>45351</v>
      </c>
      <c r="G296" s="24">
        <v>0.24</v>
      </c>
      <c r="H296" s="23">
        <v>45450</v>
      </c>
      <c r="I296" s="24">
        <v>0.24</v>
      </c>
      <c r="J296" s="23">
        <v>45541</v>
      </c>
      <c r="K296" s="24">
        <v>0.26</v>
      </c>
      <c r="L296" s="23">
        <v>45632</v>
      </c>
      <c r="M296" s="24">
        <v>0.26</v>
      </c>
      <c r="N296" s="25"/>
      <c r="O296" s="24"/>
      <c r="P296" s="24"/>
      <c r="Q296" s="24"/>
      <c r="R296" s="24"/>
      <c r="S296" s="24"/>
      <c r="T296" s="26">
        <f t="shared" si="64"/>
        <v>1</v>
      </c>
    </row>
    <row r="297" spans="2:20" x14ac:dyDescent="0.25">
      <c r="B297" s="134" t="s">
        <v>564</v>
      </c>
      <c r="C297" s="137" t="s">
        <v>591</v>
      </c>
      <c r="D297" s="135" t="s">
        <v>55</v>
      </c>
      <c r="E297" s="22" t="s">
        <v>56</v>
      </c>
      <c r="F297" s="23"/>
      <c r="G297" s="24"/>
      <c r="H297" s="23"/>
      <c r="I297" s="24"/>
      <c r="J297" s="23"/>
      <c r="K297" s="24"/>
      <c r="L297" s="23"/>
      <c r="M297" s="24"/>
      <c r="N297" s="25"/>
      <c r="O297" s="24"/>
      <c r="P297" s="24"/>
      <c r="Q297" s="24"/>
      <c r="R297" s="24"/>
      <c r="S297" s="24"/>
      <c r="T297" s="26">
        <f t="shared" si="64"/>
        <v>0</v>
      </c>
    </row>
    <row r="298" spans="2:20" x14ac:dyDescent="0.25">
      <c r="B298" s="134" t="s">
        <v>566</v>
      </c>
      <c r="C298" s="137" t="s">
        <v>593</v>
      </c>
      <c r="D298" s="135" t="s">
        <v>55</v>
      </c>
      <c r="E298" s="22" t="s">
        <v>56</v>
      </c>
      <c r="F298" s="23">
        <v>45386</v>
      </c>
      <c r="G298" s="24">
        <v>0.6</v>
      </c>
      <c r="H298" s="23">
        <v>45478</v>
      </c>
      <c r="I298" s="24">
        <v>0.6</v>
      </c>
      <c r="J298" s="23">
        <v>45569</v>
      </c>
      <c r="K298" s="24">
        <v>0.6</v>
      </c>
      <c r="L298" s="23">
        <v>45660</v>
      </c>
      <c r="M298" s="24">
        <v>0.62</v>
      </c>
      <c r="N298" s="25"/>
      <c r="O298" s="24"/>
      <c r="P298" s="24"/>
      <c r="Q298" s="24"/>
      <c r="R298" s="24"/>
      <c r="S298" s="24"/>
      <c r="T298" s="26">
        <f t="shared" si="64"/>
        <v>2.42</v>
      </c>
    </row>
    <row r="299" spans="2:20" x14ac:dyDescent="0.25">
      <c r="B299" s="134" t="s">
        <v>568</v>
      </c>
      <c r="C299" s="137" t="s">
        <v>595</v>
      </c>
      <c r="D299" s="135" t="s">
        <v>55</v>
      </c>
      <c r="E299" s="22" t="s">
        <v>56</v>
      </c>
      <c r="F299" s="147">
        <v>45371</v>
      </c>
      <c r="G299" s="148">
        <f>5.25*0.1</f>
        <v>0.52500000000000002</v>
      </c>
      <c r="H299" s="147">
        <v>45467</v>
      </c>
      <c r="I299" s="148">
        <f>5.25*0.1</f>
        <v>0.52500000000000002</v>
      </c>
      <c r="J299" s="23">
        <v>45554</v>
      </c>
      <c r="K299" s="24">
        <v>0.53</v>
      </c>
      <c r="L299" s="23">
        <v>45649</v>
      </c>
      <c r="M299" s="24">
        <v>0.59</v>
      </c>
      <c r="N299" s="25"/>
      <c r="O299" s="24"/>
      <c r="P299" s="24"/>
      <c r="Q299" s="24"/>
      <c r="R299" s="24"/>
      <c r="S299" s="24"/>
      <c r="T299" s="26">
        <f t="shared" si="64"/>
        <v>2.17</v>
      </c>
    </row>
    <row r="300" spans="2:20" x14ac:dyDescent="0.25">
      <c r="B300" s="134" t="s">
        <v>141</v>
      </c>
      <c r="C300" s="137" t="s">
        <v>142</v>
      </c>
      <c r="D300" s="135" t="s">
        <v>55</v>
      </c>
      <c r="E300" s="22" t="s">
        <v>56</v>
      </c>
      <c r="F300" s="23">
        <v>45337</v>
      </c>
      <c r="G300" s="24">
        <v>1.63</v>
      </c>
      <c r="H300" s="23">
        <v>45428</v>
      </c>
      <c r="I300" s="24">
        <v>1.63</v>
      </c>
      <c r="J300" s="23">
        <v>45523</v>
      </c>
      <c r="K300" s="24">
        <v>1.63</v>
      </c>
      <c r="L300" s="23">
        <v>45614</v>
      </c>
      <c r="M300" s="24">
        <v>1.63</v>
      </c>
      <c r="N300" s="25"/>
      <c r="O300" s="24"/>
      <c r="P300" s="24"/>
      <c r="Q300" s="24"/>
      <c r="R300" s="24"/>
      <c r="S300" s="24"/>
      <c r="T300" s="26">
        <f t="shared" si="64"/>
        <v>6.52</v>
      </c>
    </row>
    <row r="301" spans="2:20" x14ac:dyDescent="0.25">
      <c r="B301" s="134" t="s">
        <v>143</v>
      </c>
      <c r="C301" s="137" t="s">
        <v>144</v>
      </c>
      <c r="D301" s="135" t="s">
        <v>55</v>
      </c>
      <c r="E301" s="22" t="s">
        <v>56</v>
      </c>
      <c r="F301" s="23">
        <v>45385</v>
      </c>
      <c r="G301" s="24">
        <v>0.4</v>
      </c>
      <c r="H301" s="23">
        <v>45478</v>
      </c>
      <c r="I301" s="24">
        <v>0.4</v>
      </c>
      <c r="J301" s="23">
        <v>45567</v>
      </c>
      <c r="K301" s="24">
        <v>0.4</v>
      </c>
      <c r="L301" s="23">
        <v>45660</v>
      </c>
      <c r="M301" s="24">
        <v>0.4</v>
      </c>
      <c r="N301" s="25"/>
      <c r="O301" s="24"/>
      <c r="P301" s="24"/>
      <c r="Q301" s="24"/>
      <c r="R301" s="24"/>
      <c r="S301" s="24"/>
      <c r="T301" s="26">
        <f t="shared" si="64"/>
        <v>1.6</v>
      </c>
    </row>
    <row r="302" spans="2:20" x14ac:dyDescent="0.25">
      <c r="B302" s="134" t="s">
        <v>145</v>
      </c>
      <c r="C302" s="137" t="s">
        <v>146</v>
      </c>
      <c r="D302" s="135" t="s">
        <v>55</v>
      </c>
      <c r="E302" s="22" t="s">
        <v>56</v>
      </c>
      <c r="F302" s="23">
        <v>45324</v>
      </c>
      <c r="G302" s="24">
        <v>0.53</v>
      </c>
      <c r="H302" s="23">
        <v>45415</v>
      </c>
      <c r="I302" s="24">
        <v>0.53</v>
      </c>
      <c r="J302" s="23">
        <v>45509</v>
      </c>
      <c r="K302" s="24">
        <v>0.56000000000000005</v>
      </c>
      <c r="L302" s="23">
        <v>45600</v>
      </c>
      <c r="M302" s="24">
        <v>0.56000000000000005</v>
      </c>
      <c r="N302" s="25"/>
      <c r="O302" s="24"/>
      <c r="P302" s="24"/>
      <c r="Q302" s="24"/>
      <c r="R302" s="24"/>
      <c r="S302" s="24"/>
      <c r="T302" s="26">
        <f t="shared" si="64"/>
        <v>2.1800000000000002</v>
      </c>
    </row>
    <row r="303" spans="2:20" x14ac:dyDescent="0.25">
      <c r="B303" s="134" t="s">
        <v>147</v>
      </c>
      <c r="C303" s="137" t="s">
        <v>148</v>
      </c>
      <c r="D303" s="135" t="s">
        <v>55</v>
      </c>
      <c r="E303" s="22" t="s">
        <v>56</v>
      </c>
      <c r="F303" s="153">
        <v>45358</v>
      </c>
      <c r="G303" s="154">
        <f>1.15*0.97575352</f>
        <v>1.1221165479999999</v>
      </c>
      <c r="H303" s="153">
        <v>45450</v>
      </c>
      <c r="I303" s="154">
        <f>1.15*0.97575352</f>
        <v>1.1221165479999999</v>
      </c>
      <c r="J303" s="153">
        <v>45544</v>
      </c>
      <c r="K303" s="154">
        <f>1.15*0.97575352</f>
        <v>1.1221165479999999</v>
      </c>
      <c r="L303" s="153">
        <v>45635</v>
      </c>
      <c r="M303" s="154">
        <f>1.15*0.97575352</f>
        <v>1.1221165479999999</v>
      </c>
      <c r="N303" s="25"/>
      <c r="O303" s="24"/>
      <c r="P303" s="24"/>
      <c r="Q303" s="24"/>
      <c r="R303" s="24"/>
      <c r="S303" s="24"/>
      <c r="T303" s="26">
        <f t="shared" si="64"/>
        <v>4.4884661919999997</v>
      </c>
    </row>
    <row r="304" spans="2:20" x14ac:dyDescent="0.25">
      <c r="B304" s="134" t="s">
        <v>149</v>
      </c>
      <c r="C304" s="137" t="s">
        <v>150</v>
      </c>
      <c r="D304" s="135" t="s">
        <v>55</v>
      </c>
      <c r="E304" s="22" t="s">
        <v>56</v>
      </c>
      <c r="F304" s="23">
        <v>45365</v>
      </c>
      <c r="G304" s="24">
        <v>0.48499999999999999</v>
      </c>
      <c r="H304" s="23">
        <v>45457</v>
      </c>
      <c r="I304" s="24">
        <v>0.48499999999999999</v>
      </c>
      <c r="J304" s="23">
        <v>45548</v>
      </c>
      <c r="K304" s="24">
        <v>0.48499999999999999</v>
      </c>
      <c r="L304" s="23">
        <v>45625</v>
      </c>
      <c r="M304" s="24">
        <v>0.48499999999999999</v>
      </c>
      <c r="N304" s="25"/>
      <c r="O304" s="24"/>
      <c r="P304" s="24"/>
      <c r="Q304" s="24"/>
      <c r="R304" s="24"/>
      <c r="S304" s="24"/>
      <c r="T304" s="26">
        <f t="shared" si="64"/>
        <v>1.94</v>
      </c>
    </row>
    <row r="305" spans="1:21" x14ac:dyDescent="0.25">
      <c r="B305" s="134" t="s">
        <v>550</v>
      </c>
      <c r="C305" s="137" t="s">
        <v>155</v>
      </c>
      <c r="D305" s="135" t="s">
        <v>55</v>
      </c>
      <c r="E305" s="22" t="s">
        <v>56</v>
      </c>
      <c r="F305" s="23">
        <v>45384</v>
      </c>
      <c r="G305" s="24">
        <v>0.31</v>
      </c>
      <c r="H305" s="23">
        <v>45476</v>
      </c>
      <c r="I305" s="24">
        <v>0.31</v>
      </c>
      <c r="J305" s="23">
        <v>45567</v>
      </c>
      <c r="K305" s="24">
        <v>0.31</v>
      </c>
      <c r="L305" s="23">
        <v>45665</v>
      </c>
      <c r="M305" s="24">
        <v>0.31</v>
      </c>
      <c r="N305" s="25"/>
      <c r="O305" s="24"/>
      <c r="P305" s="24"/>
      <c r="Q305" s="24"/>
      <c r="R305" s="24"/>
      <c r="S305" s="24"/>
      <c r="T305" s="26">
        <f t="shared" si="64"/>
        <v>1.24</v>
      </c>
    </row>
    <row r="306" spans="1:21" x14ac:dyDescent="0.25">
      <c r="B306" s="134" t="s">
        <v>577</v>
      </c>
      <c r="C306" s="137" t="s">
        <v>604</v>
      </c>
      <c r="D306" s="135" t="s">
        <v>55</v>
      </c>
      <c r="E306" s="22" t="s">
        <v>56</v>
      </c>
      <c r="F306" s="23">
        <v>45401</v>
      </c>
      <c r="G306" s="24">
        <v>0.66500000000000004</v>
      </c>
      <c r="H306" s="23">
        <v>45495</v>
      </c>
      <c r="I306" s="24">
        <v>0.66500000000000004</v>
      </c>
      <c r="J306" s="23">
        <v>45586</v>
      </c>
      <c r="K306" s="24">
        <v>0.66500000000000004</v>
      </c>
      <c r="L306" s="23"/>
      <c r="M306" s="24"/>
      <c r="N306" s="25"/>
      <c r="O306" s="24"/>
      <c r="P306" s="24"/>
      <c r="Q306" s="24"/>
      <c r="R306" s="24"/>
      <c r="S306" s="24"/>
      <c r="T306" s="26">
        <f t="shared" si="64"/>
        <v>1.9950000000000001</v>
      </c>
    </row>
    <row r="307" spans="1:21" x14ac:dyDescent="0.25">
      <c r="B307" s="134" t="s">
        <v>192</v>
      </c>
      <c r="C307" s="137" t="s">
        <v>193</v>
      </c>
      <c r="D307" s="135" t="s">
        <v>55</v>
      </c>
      <c r="E307" s="22" t="s">
        <v>56</v>
      </c>
      <c r="F307" s="23">
        <v>45337</v>
      </c>
      <c r="G307" s="24">
        <v>1.0249999999999999</v>
      </c>
      <c r="H307" s="23">
        <v>45428</v>
      </c>
      <c r="I307" s="24">
        <v>1.0249999999999999</v>
      </c>
      <c r="J307" s="23">
        <v>45520</v>
      </c>
      <c r="K307" s="24">
        <v>1.0449999999999999</v>
      </c>
      <c r="L307" s="23">
        <v>45611</v>
      </c>
      <c r="M307" s="24">
        <v>1.0449999999999999</v>
      </c>
      <c r="N307" s="25"/>
      <c r="O307" s="24"/>
      <c r="P307" s="24"/>
      <c r="Q307" s="24"/>
      <c r="R307" s="24"/>
      <c r="S307" s="24"/>
      <c r="T307" s="26">
        <f t="shared" si="64"/>
        <v>4.1399999999999997</v>
      </c>
    </row>
    <row r="308" spans="1:21" x14ac:dyDescent="0.25">
      <c r="B308" s="134" t="s">
        <v>575</v>
      </c>
      <c r="C308" s="137" t="s">
        <v>602</v>
      </c>
      <c r="D308" s="135" t="s">
        <v>55</v>
      </c>
      <c r="E308" s="22" t="s">
        <v>56</v>
      </c>
      <c r="F308" s="23">
        <v>45336</v>
      </c>
      <c r="G308" s="24">
        <v>1.3</v>
      </c>
      <c r="H308" s="23">
        <v>45427</v>
      </c>
      <c r="I308" s="24">
        <v>1.3</v>
      </c>
      <c r="J308" s="23">
        <v>45519</v>
      </c>
      <c r="K308" s="24">
        <v>1.3</v>
      </c>
      <c r="L308" s="23">
        <v>45611</v>
      </c>
      <c r="M308" s="24">
        <v>1.3</v>
      </c>
      <c r="N308" s="25"/>
      <c r="O308" s="24"/>
      <c r="P308" s="24"/>
      <c r="Q308" s="24"/>
      <c r="R308" s="24"/>
      <c r="S308" s="24"/>
      <c r="T308" s="26">
        <f t="shared" si="64"/>
        <v>5.2</v>
      </c>
    </row>
    <row r="309" spans="1:21" x14ac:dyDescent="0.25">
      <c r="A309" s="33"/>
      <c r="B309" s="134" t="s">
        <v>223</v>
      </c>
      <c r="C309" s="137" t="s">
        <v>224</v>
      </c>
      <c r="D309" s="135" t="s">
        <v>55</v>
      </c>
      <c r="E309" s="22" t="s">
        <v>56</v>
      </c>
      <c r="F309" s="23">
        <v>45335</v>
      </c>
      <c r="G309" s="24">
        <v>0.95</v>
      </c>
      <c r="H309" s="23">
        <v>45426</v>
      </c>
      <c r="I309" s="24">
        <v>0.95</v>
      </c>
      <c r="J309" s="23">
        <v>45519</v>
      </c>
      <c r="K309" s="24">
        <v>0.95</v>
      </c>
      <c r="L309" s="23">
        <v>45610</v>
      </c>
      <c r="M309" s="24">
        <v>0.99</v>
      </c>
      <c r="N309" s="25"/>
      <c r="O309" s="24"/>
      <c r="P309" s="24"/>
      <c r="Q309" s="24"/>
      <c r="R309" s="24"/>
      <c r="S309" s="24"/>
      <c r="T309" s="26">
        <f t="shared" si="64"/>
        <v>3.84</v>
      </c>
      <c r="U309" s="36"/>
    </row>
    <row r="310" spans="1:21" x14ac:dyDescent="0.25">
      <c r="A310" s="33"/>
      <c r="B310" s="134" t="s">
        <v>227</v>
      </c>
      <c r="C310" s="137" t="s">
        <v>228</v>
      </c>
      <c r="D310" s="135" t="s">
        <v>55</v>
      </c>
      <c r="E310" s="22" t="s">
        <v>56</v>
      </c>
      <c r="F310" s="147">
        <v>45337</v>
      </c>
      <c r="G310" s="148">
        <f>0.15*0.98549557</f>
        <v>0.14782433549999999</v>
      </c>
      <c r="H310" s="23">
        <v>45419</v>
      </c>
      <c r="I310" s="24">
        <v>0.15</v>
      </c>
      <c r="J310" s="23">
        <v>45511</v>
      </c>
      <c r="K310" s="24">
        <v>0.15</v>
      </c>
      <c r="L310" s="23">
        <v>45603</v>
      </c>
      <c r="M310" s="24">
        <v>0.15</v>
      </c>
      <c r="N310" s="25"/>
      <c r="O310" s="24"/>
      <c r="P310" s="24"/>
      <c r="Q310" s="24"/>
      <c r="R310" s="24"/>
      <c r="S310" s="24"/>
      <c r="T310" s="26">
        <f t="shared" si="64"/>
        <v>0.59782433550000003</v>
      </c>
      <c r="U310" s="36"/>
    </row>
    <row r="311" spans="1:21" x14ac:dyDescent="0.25">
      <c r="B311" s="134" t="s">
        <v>961</v>
      </c>
      <c r="C311" s="137" t="s">
        <v>241</v>
      </c>
      <c r="D311" s="135" t="s">
        <v>55</v>
      </c>
      <c r="E311" s="22" t="s">
        <v>56</v>
      </c>
      <c r="F311" s="23">
        <v>45394</v>
      </c>
      <c r="G311" s="24">
        <v>0.28000000000000003</v>
      </c>
      <c r="H311" s="23">
        <v>45484</v>
      </c>
      <c r="I311" s="24">
        <v>0.28000000000000003</v>
      </c>
      <c r="J311" s="23">
        <v>45561</v>
      </c>
      <c r="K311" s="24">
        <v>0.28000000000000003</v>
      </c>
      <c r="L311" s="23">
        <v>45653</v>
      </c>
      <c r="M311" s="24">
        <v>0.28000000000000003</v>
      </c>
      <c r="N311" s="25"/>
      <c r="O311" s="24"/>
      <c r="P311" s="24"/>
      <c r="Q311" s="24"/>
      <c r="R311" s="24"/>
      <c r="S311" s="24"/>
      <c r="T311" s="26">
        <f t="shared" si="64"/>
        <v>1.1200000000000001</v>
      </c>
    </row>
    <row r="312" spans="1:21" x14ac:dyDescent="0.25">
      <c r="B312" s="134" t="s">
        <v>246</v>
      </c>
      <c r="C312" s="137" t="s">
        <v>247</v>
      </c>
      <c r="D312" s="135" t="s">
        <v>55</v>
      </c>
      <c r="E312" s="22" t="s">
        <v>56</v>
      </c>
      <c r="F312" s="23">
        <v>45351</v>
      </c>
      <c r="G312" s="24">
        <v>0.12</v>
      </c>
      <c r="H312" s="23">
        <v>45450</v>
      </c>
      <c r="I312" s="24">
        <v>0.12</v>
      </c>
      <c r="J312" s="23">
        <v>45541</v>
      </c>
      <c r="K312" s="24">
        <v>0.12</v>
      </c>
      <c r="L312" s="23">
        <v>45632</v>
      </c>
      <c r="M312" s="24">
        <v>0.12</v>
      </c>
      <c r="N312" s="25"/>
      <c r="O312" s="24"/>
      <c r="P312" s="24"/>
      <c r="Q312" s="24"/>
      <c r="R312" s="24"/>
      <c r="S312" s="24"/>
      <c r="T312" s="26">
        <f t="shared" si="64"/>
        <v>0.48</v>
      </c>
    </row>
    <row r="313" spans="1:21" x14ac:dyDescent="0.25">
      <c r="B313" s="134" t="s">
        <v>567</v>
      </c>
      <c r="C313" s="137" t="s">
        <v>594</v>
      </c>
      <c r="D313" s="135" t="s">
        <v>55</v>
      </c>
      <c r="E313" s="22" t="s">
        <v>56</v>
      </c>
      <c r="F313" s="23">
        <v>45365</v>
      </c>
      <c r="G313" s="24">
        <v>0.77</v>
      </c>
      <c r="H313" s="23">
        <v>45457</v>
      </c>
      <c r="I313" s="24">
        <v>0.77</v>
      </c>
      <c r="J313" s="23">
        <v>45548</v>
      </c>
      <c r="K313" s="24">
        <v>0.77</v>
      </c>
      <c r="L313" s="23">
        <v>45639</v>
      </c>
      <c r="M313" s="24">
        <v>0.77</v>
      </c>
      <c r="N313" s="25"/>
      <c r="O313" s="24"/>
      <c r="P313" s="24"/>
      <c r="Q313" s="24"/>
      <c r="R313" s="24"/>
      <c r="S313" s="24"/>
      <c r="T313" s="26">
        <f t="shared" si="64"/>
        <v>3.08</v>
      </c>
    </row>
    <row r="314" spans="1:21" x14ac:dyDescent="0.25">
      <c r="B314" s="134" t="s">
        <v>570</v>
      </c>
      <c r="C314" s="137" t="s">
        <v>597</v>
      </c>
      <c r="D314" s="135" t="s">
        <v>55</v>
      </c>
      <c r="E314" s="22" t="s">
        <v>56</v>
      </c>
      <c r="F314" s="23">
        <v>45350</v>
      </c>
      <c r="G314" s="24">
        <v>2.75</v>
      </c>
      <c r="H314" s="23">
        <v>45442</v>
      </c>
      <c r="I314" s="24">
        <v>2.75</v>
      </c>
      <c r="J314" s="23">
        <v>45534</v>
      </c>
      <c r="K314" s="24">
        <v>3</v>
      </c>
      <c r="L314" s="23">
        <v>45628</v>
      </c>
      <c r="M314" s="24">
        <v>3</v>
      </c>
      <c r="N314" s="25"/>
      <c r="O314" s="24"/>
      <c r="P314" s="24"/>
      <c r="Q314" s="24"/>
      <c r="R314" s="24"/>
      <c r="S314" s="24"/>
      <c r="T314" s="26">
        <f t="shared" si="64"/>
        <v>11.5</v>
      </c>
    </row>
    <row r="315" spans="1:21" x14ac:dyDescent="0.25">
      <c r="B315" s="134" t="s">
        <v>262</v>
      </c>
      <c r="C315" s="137" t="s">
        <v>263</v>
      </c>
      <c r="D315" s="135" t="s">
        <v>55</v>
      </c>
      <c r="E315" s="22" t="s">
        <v>56</v>
      </c>
      <c r="F315" s="23">
        <v>45357</v>
      </c>
      <c r="G315" s="24">
        <v>2.25</v>
      </c>
      <c r="H315" s="23">
        <v>45442</v>
      </c>
      <c r="I315" s="24">
        <v>2.25</v>
      </c>
      <c r="J315" s="23">
        <v>45533</v>
      </c>
      <c r="K315" s="24">
        <v>2.25</v>
      </c>
      <c r="L315" s="23">
        <v>45623</v>
      </c>
      <c r="M315" s="24">
        <v>2.25</v>
      </c>
      <c r="N315" s="25"/>
      <c r="O315" s="24"/>
      <c r="P315" s="24"/>
      <c r="Q315" s="24"/>
      <c r="R315" s="24"/>
      <c r="S315" s="24"/>
      <c r="T315" s="26">
        <f t="shared" si="64"/>
        <v>9</v>
      </c>
    </row>
    <row r="316" spans="1:21" x14ac:dyDescent="0.25">
      <c r="B316" s="134" t="s">
        <v>683</v>
      </c>
      <c r="C316" s="137" t="s">
        <v>592</v>
      </c>
      <c r="D316" s="135" t="s">
        <v>55</v>
      </c>
      <c r="E316" s="22" t="s">
        <v>56</v>
      </c>
      <c r="F316" s="23">
        <v>45351</v>
      </c>
      <c r="G316" s="24">
        <v>1.08</v>
      </c>
      <c r="H316" s="23">
        <v>45428</v>
      </c>
      <c r="I316" s="24">
        <v>1.08</v>
      </c>
      <c r="J316" s="23">
        <v>45520</v>
      </c>
      <c r="K316" s="24">
        <v>1.08</v>
      </c>
      <c r="L316" s="23">
        <v>45611</v>
      </c>
      <c r="M316" s="24">
        <v>1.1299999999999999</v>
      </c>
      <c r="N316" s="25"/>
      <c r="O316" s="24"/>
      <c r="P316" s="24"/>
      <c r="Q316" s="24"/>
      <c r="R316" s="24"/>
      <c r="S316" s="24"/>
      <c r="T316" s="26">
        <f t="shared" si="64"/>
        <v>4.37</v>
      </c>
    </row>
    <row r="317" spans="1:21" x14ac:dyDescent="0.25">
      <c r="B317" s="134" t="s">
        <v>553</v>
      </c>
      <c r="C317" s="137" t="s">
        <v>580</v>
      </c>
      <c r="D317" s="135" t="s">
        <v>55</v>
      </c>
      <c r="E317" s="22" t="s">
        <v>56</v>
      </c>
      <c r="F317" s="23">
        <v>45327</v>
      </c>
      <c r="G317" s="24">
        <v>1.66</v>
      </c>
      <c r="H317" s="23">
        <v>45421</v>
      </c>
      <c r="I317" s="24">
        <v>1.67</v>
      </c>
      <c r="J317" s="23">
        <v>45513</v>
      </c>
      <c r="K317" s="24">
        <v>1.67</v>
      </c>
      <c r="L317" s="23">
        <v>45608</v>
      </c>
      <c r="M317" s="24">
        <v>1.67</v>
      </c>
      <c r="N317" s="25"/>
      <c r="O317" s="24"/>
      <c r="P317" s="24"/>
      <c r="Q317" s="24"/>
      <c r="R317" s="24"/>
      <c r="S317" s="24"/>
      <c r="T317" s="26">
        <f t="shared" si="64"/>
        <v>6.67</v>
      </c>
    </row>
    <row r="318" spans="1:21" x14ac:dyDescent="0.25">
      <c r="B318" s="134" t="s">
        <v>612</v>
      </c>
      <c r="C318" s="137" t="s">
        <v>275</v>
      </c>
      <c r="D318" s="135" t="s">
        <v>55</v>
      </c>
      <c r="E318" s="22" t="s">
        <v>56</v>
      </c>
      <c r="F318" s="23">
        <v>45327</v>
      </c>
      <c r="G318" s="24">
        <v>0.125</v>
      </c>
      <c r="H318" s="23">
        <v>45418</v>
      </c>
      <c r="I318" s="24">
        <v>0.125</v>
      </c>
      <c r="J318" s="23">
        <v>45511</v>
      </c>
      <c r="K318" s="24">
        <v>0.125</v>
      </c>
      <c r="L318" s="23"/>
      <c r="M318" s="24"/>
      <c r="N318" s="25"/>
      <c r="O318" s="24"/>
      <c r="P318" s="24"/>
      <c r="Q318" s="24"/>
      <c r="R318" s="24"/>
      <c r="S318" s="24"/>
      <c r="T318" s="26">
        <f t="shared" si="64"/>
        <v>0.375</v>
      </c>
    </row>
    <row r="319" spans="1:21" x14ac:dyDescent="0.25">
      <c r="A319" s="33"/>
      <c r="B319" s="134" t="s">
        <v>280</v>
      </c>
      <c r="C319" s="137" t="s">
        <v>281</v>
      </c>
      <c r="D319" s="135" t="s">
        <v>55</v>
      </c>
      <c r="E319" s="22" t="s">
        <v>56</v>
      </c>
      <c r="F319" s="23">
        <v>45338</v>
      </c>
      <c r="G319" s="24">
        <v>1.19</v>
      </c>
      <c r="H319" s="23">
        <v>45432</v>
      </c>
      <c r="I319" s="24">
        <v>1.24</v>
      </c>
      <c r="J319" s="23">
        <v>45531</v>
      </c>
      <c r="K319" s="24">
        <v>1.24</v>
      </c>
      <c r="L319" s="23">
        <v>45622</v>
      </c>
      <c r="M319" s="24">
        <v>1.24</v>
      </c>
      <c r="N319" s="25"/>
      <c r="O319" s="24"/>
      <c r="P319" s="24"/>
      <c r="Q319" s="24"/>
      <c r="R319" s="24"/>
      <c r="S319" s="24"/>
      <c r="T319" s="26">
        <f t="shared" si="64"/>
        <v>4.91</v>
      </c>
      <c r="U319" s="36"/>
    </row>
    <row r="320" spans="1:21" x14ac:dyDescent="0.25">
      <c r="B320" s="134" t="s">
        <v>282</v>
      </c>
      <c r="C320" s="137" t="s">
        <v>283</v>
      </c>
      <c r="D320" s="135" t="s">
        <v>55</v>
      </c>
      <c r="E320" s="22" t="s">
        <v>56</v>
      </c>
      <c r="F320" s="23">
        <v>45386</v>
      </c>
      <c r="G320" s="24">
        <v>1.1499999999999999</v>
      </c>
      <c r="H320" s="23">
        <v>45478</v>
      </c>
      <c r="I320" s="24">
        <v>1.1499999999999999</v>
      </c>
      <c r="J320" s="23">
        <v>45569</v>
      </c>
      <c r="K320" s="24">
        <v>1.25</v>
      </c>
      <c r="L320" s="23">
        <v>45663</v>
      </c>
      <c r="M320" s="24">
        <v>1.25</v>
      </c>
      <c r="N320" s="25"/>
      <c r="O320" s="24"/>
      <c r="P320" s="24"/>
      <c r="Q320" s="24"/>
      <c r="R320" s="24"/>
      <c r="S320" s="24"/>
      <c r="T320" s="26">
        <f t="shared" si="64"/>
        <v>4.8</v>
      </c>
    </row>
    <row r="321" spans="2:20" x14ac:dyDescent="0.25">
      <c r="B321" s="134" t="s">
        <v>562</v>
      </c>
      <c r="C321" s="137" t="s">
        <v>589</v>
      </c>
      <c r="D321" s="135" t="s">
        <v>55</v>
      </c>
      <c r="E321" s="22" t="s">
        <v>56</v>
      </c>
      <c r="F321" s="23">
        <v>45390</v>
      </c>
      <c r="G321" s="24">
        <v>0.66</v>
      </c>
      <c r="H321" s="23">
        <v>45482</v>
      </c>
      <c r="I321" s="24">
        <v>0.66</v>
      </c>
      <c r="J321" s="23">
        <v>45574</v>
      </c>
      <c r="K321" s="24">
        <v>0.66</v>
      </c>
      <c r="L321" s="23">
        <v>45667</v>
      </c>
      <c r="M321" s="24">
        <v>0.76</v>
      </c>
      <c r="N321" s="25"/>
      <c r="O321" s="24"/>
      <c r="P321" s="24"/>
      <c r="Q321" s="24"/>
      <c r="R321" s="24"/>
      <c r="S321" s="24"/>
      <c r="T321" s="26">
        <f t="shared" si="64"/>
        <v>2.74</v>
      </c>
    </row>
    <row r="322" spans="2:20" x14ac:dyDescent="0.25">
      <c r="B322" s="134" t="s">
        <v>561</v>
      </c>
      <c r="C322" s="137" t="s">
        <v>588</v>
      </c>
      <c r="D322" s="135" t="s">
        <v>55</v>
      </c>
      <c r="E322" s="22" t="s">
        <v>56</v>
      </c>
      <c r="F322" s="23">
        <v>45351</v>
      </c>
      <c r="G322" s="24">
        <v>1.67</v>
      </c>
      <c r="H322" s="23">
        <v>45446</v>
      </c>
      <c r="I322" s="24">
        <v>1.67</v>
      </c>
      <c r="J322" s="23">
        <v>45538</v>
      </c>
      <c r="K322" s="24">
        <v>1.67</v>
      </c>
      <c r="L322" s="23">
        <v>45628</v>
      </c>
      <c r="M322" s="24">
        <v>1.77</v>
      </c>
      <c r="N322" s="25"/>
      <c r="O322" s="24"/>
      <c r="P322" s="24"/>
      <c r="Q322" s="24"/>
      <c r="R322" s="24"/>
      <c r="S322" s="24"/>
      <c r="T322" s="26">
        <f t="shared" si="64"/>
        <v>6.7799999999999994</v>
      </c>
    </row>
    <row r="323" spans="2:20" x14ac:dyDescent="0.25">
      <c r="B323" s="134" t="s">
        <v>558</v>
      </c>
      <c r="C323" s="137" t="s">
        <v>585</v>
      </c>
      <c r="D323" s="135" t="s">
        <v>55</v>
      </c>
      <c r="E323" s="22" t="s">
        <v>56</v>
      </c>
      <c r="F323" s="23">
        <v>45372</v>
      </c>
      <c r="G323" s="24">
        <v>0.69</v>
      </c>
      <c r="H323" s="23">
        <v>45471</v>
      </c>
      <c r="I323" s="24">
        <v>0.7</v>
      </c>
      <c r="J323" s="23">
        <v>45562</v>
      </c>
      <c r="K323" s="24">
        <v>0.7</v>
      </c>
      <c r="L323" s="23">
        <v>45653</v>
      </c>
      <c r="M323" s="24">
        <v>0.7</v>
      </c>
      <c r="N323" s="25"/>
      <c r="O323" s="24"/>
      <c r="P323" s="24"/>
      <c r="Q323" s="24"/>
      <c r="R323" s="24"/>
      <c r="S323" s="24"/>
      <c r="T323" s="26">
        <f t="shared" si="64"/>
        <v>2.79</v>
      </c>
    </row>
    <row r="324" spans="2:20" x14ac:dyDescent="0.25">
      <c r="B324" s="134" t="s">
        <v>324</v>
      </c>
      <c r="C324" s="137" t="s">
        <v>325</v>
      </c>
      <c r="D324" s="135" t="s">
        <v>55</v>
      </c>
      <c r="E324" s="22" t="s">
        <v>56</v>
      </c>
      <c r="F324" s="23">
        <v>45365</v>
      </c>
      <c r="G324" s="24">
        <v>0.77</v>
      </c>
      <c r="H324" s="23">
        <v>45460</v>
      </c>
      <c r="I324" s="24">
        <v>0.77</v>
      </c>
      <c r="J324" s="23">
        <v>45551</v>
      </c>
      <c r="K324" s="24">
        <v>0.77</v>
      </c>
      <c r="L324" s="23">
        <v>45642</v>
      </c>
      <c r="M324" s="24">
        <v>0.81</v>
      </c>
      <c r="N324" s="25"/>
      <c r="O324" s="24"/>
      <c r="P324" s="24"/>
      <c r="Q324" s="24"/>
      <c r="R324" s="24"/>
      <c r="S324" s="24"/>
      <c r="T324" s="26">
        <f t="shared" si="64"/>
        <v>3.12</v>
      </c>
    </row>
    <row r="325" spans="2:20" x14ac:dyDescent="0.25">
      <c r="B325" s="134" t="s">
        <v>331</v>
      </c>
      <c r="C325" s="137" t="s">
        <v>332</v>
      </c>
      <c r="D325" s="135" t="s">
        <v>55</v>
      </c>
      <c r="E325" s="22" t="s">
        <v>56</v>
      </c>
      <c r="F325" s="23">
        <v>45336</v>
      </c>
      <c r="G325" s="24">
        <v>0.75</v>
      </c>
      <c r="H325" s="23">
        <v>45427</v>
      </c>
      <c r="I325" s="24">
        <v>0.75</v>
      </c>
      <c r="J325" s="23">
        <v>39675</v>
      </c>
      <c r="K325" s="24">
        <v>0.75</v>
      </c>
      <c r="L325" s="23">
        <v>45617</v>
      </c>
      <c r="M325" s="24">
        <v>0.83</v>
      </c>
      <c r="N325" s="25"/>
      <c r="O325" s="24"/>
      <c r="P325" s="24"/>
      <c r="Q325" s="24"/>
      <c r="R325" s="24"/>
      <c r="S325" s="24"/>
      <c r="T325" s="26">
        <f t="shared" si="64"/>
        <v>3.08</v>
      </c>
    </row>
    <row r="326" spans="2:20" x14ac:dyDescent="0.25">
      <c r="B326" s="134" t="s">
        <v>555</v>
      </c>
      <c r="C326" s="137" t="s">
        <v>582</v>
      </c>
      <c r="D326" s="138" t="s">
        <v>55</v>
      </c>
      <c r="E326" s="68" t="s">
        <v>56</v>
      </c>
      <c r="F326" s="23">
        <v>45539</v>
      </c>
      <c r="G326" s="24">
        <v>0.4</v>
      </c>
      <c r="H326" s="23">
        <v>45484</v>
      </c>
      <c r="I326" s="24">
        <v>0.4</v>
      </c>
      <c r="J326" s="23">
        <v>45575</v>
      </c>
      <c r="K326" s="24">
        <v>0.4</v>
      </c>
      <c r="L326" s="23">
        <v>45667</v>
      </c>
      <c r="M326" s="24">
        <v>0.4</v>
      </c>
      <c r="N326" s="25"/>
      <c r="O326" s="24"/>
      <c r="P326" s="24"/>
      <c r="Q326" s="24"/>
      <c r="R326" s="24"/>
      <c r="S326" s="24"/>
      <c r="T326" s="26">
        <f t="shared" si="64"/>
        <v>1.6</v>
      </c>
    </row>
    <row r="327" spans="2:20" x14ac:dyDescent="0.25">
      <c r="B327" s="134" t="s">
        <v>551</v>
      </c>
      <c r="C327" s="137" t="s">
        <v>578</v>
      </c>
      <c r="D327" s="135" t="s">
        <v>55</v>
      </c>
      <c r="E327" s="22" t="s">
        <v>56</v>
      </c>
      <c r="F327" s="23">
        <v>45351</v>
      </c>
      <c r="G327" s="24">
        <v>1.2649999999999999</v>
      </c>
      <c r="H327" s="23">
        <v>45450</v>
      </c>
      <c r="I327" s="24">
        <v>1.355</v>
      </c>
      <c r="J327" s="23">
        <v>45541</v>
      </c>
      <c r="K327" s="24">
        <v>1.355</v>
      </c>
      <c r="L327" s="23">
        <v>45632</v>
      </c>
      <c r="M327" s="24">
        <v>1.355</v>
      </c>
      <c r="N327" s="25"/>
      <c r="O327" s="24"/>
      <c r="P327" s="24"/>
      <c r="Q327" s="24"/>
      <c r="R327" s="24"/>
      <c r="S327" s="24"/>
      <c r="T327" s="26">
        <f t="shared" si="64"/>
        <v>5.33</v>
      </c>
    </row>
    <row r="328" spans="2:20" x14ac:dyDescent="0.25">
      <c r="B328" s="134" t="s">
        <v>363</v>
      </c>
      <c r="C328" s="137" t="s">
        <v>364</v>
      </c>
      <c r="D328" s="135" t="s">
        <v>55</v>
      </c>
      <c r="E328" s="22" t="s">
        <v>56</v>
      </c>
      <c r="F328" s="23">
        <v>45316</v>
      </c>
      <c r="G328" s="24">
        <v>0.42</v>
      </c>
      <c r="H328" s="23">
        <v>45421</v>
      </c>
      <c r="I328" s="24">
        <v>0.42</v>
      </c>
      <c r="J328" s="23">
        <v>45499</v>
      </c>
      <c r="K328" s="24">
        <v>0.42</v>
      </c>
      <c r="L328" s="23">
        <v>45604</v>
      </c>
      <c r="M328" s="24">
        <v>0.42</v>
      </c>
      <c r="N328" s="25"/>
      <c r="O328" s="24"/>
      <c r="P328" s="24"/>
      <c r="Q328" s="24"/>
      <c r="R328" s="24"/>
      <c r="S328" s="24"/>
      <c r="T328" s="26">
        <f t="shared" si="64"/>
        <v>1.68</v>
      </c>
    </row>
    <row r="329" spans="2:20" x14ac:dyDescent="0.25">
      <c r="B329" s="134" t="s">
        <v>606</v>
      </c>
      <c r="C329" s="137" t="s">
        <v>365</v>
      </c>
      <c r="D329" s="135" t="s">
        <v>55</v>
      </c>
      <c r="E329" s="22" t="s">
        <v>56</v>
      </c>
      <c r="F329" s="23">
        <v>45371</v>
      </c>
      <c r="G329" s="24">
        <v>1.3</v>
      </c>
      <c r="H329" s="23">
        <v>45464</v>
      </c>
      <c r="I329" s="24">
        <v>1.3</v>
      </c>
      <c r="J329" s="23">
        <v>45561</v>
      </c>
      <c r="K329" s="24">
        <v>1.35</v>
      </c>
      <c r="L329" s="23">
        <v>45652</v>
      </c>
      <c r="M329" s="24">
        <v>1.35</v>
      </c>
      <c r="N329" s="25"/>
      <c r="O329" s="24"/>
      <c r="P329" s="24"/>
      <c r="Q329" s="24"/>
      <c r="R329" s="24"/>
      <c r="S329" s="24"/>
      <c r="T329" s="26">
        <f t="shared" si="64"/>
        <v>5.3000000000000007</v>
      </c>
    </row>
    <row r="330" spans="2:20" x14ac:dyDescent="0.25">
      <c r="B330" s="134" t="s">
        <v>355</v>
      </c>
      <c r="C330" s="137" t="s">
        <v>356</v>
      </c>
      <c r="D330" s="135" t="s">
        <v>55</v>
      </c>
      <c r="E330" s="22" t="s">
        <v>56</v>
      </c>
      <c r="F330" s="23">
        <v>45400</v>
      </c>
      <c r="G330" s="24">
        <v>1.0065</v>
      </c>
      <c r="H330" s="23">
        <v>45492</v>
      </c>
      <c r="I330" s="24">
        <v>1.0065</v>
      </c>
      <c r="J330" s="23">
        <v>45583</v>
      </c>
      <c r="K330" s="24">
        <v>1.0065</v>
      </c>
      <c r="L330" s="23"/>
      <c r="M330" s="24"/>
      <c r="N330" s="25"/>
      <c r="O330" s="24"/>
      <c r="P330" s="24"/>
      <c r="Q330" s="24"/>
      <c r="R330" s="24"/>
      <c r="S330" s="24"/>
      <c r="T330" s="26">
        <f t="shared" si="64"/>
        <v>3.0194999999999999</v>
      </c>
    </row>
    <row r="331" spans="2:20" x14ac:dyDescent="0.25">
      <c r="B331" s="134" t="s">
        <v>572</v>
      </c>
      <c r="C331" s="137" t="s">
        <v>599</v>
      </c>
      <c r="D331" s="135" t="s">
        <v>55</v>
      </c>
      <c r="E331" s="22" t="s">
        <v>56</v>
      </c>
      <c r="F331" s="23">
        <v>45350</v>
      </c>
      <c r="G331" s="24">
        <v>0.8</v>
      </c>
      <c r="H331" s="23">
        <v>45442</v>
      </c>
      <c r="I331" s="24">
        <v>0.85</v>
      </c>
      <c r="J331" s="23">
        <v>45540</v>
      </c>
      <c r="K331" s="24">
        <v>0.85</v>
      </c>
      <c r="L331" s="23">
        <v>45631</v>
      </c>
      <c r="M331" s="24">
        <v>0.85</v>
      </c>
      <c r="N331" s="25"/>
      <c r="O331" s="24"/>
      <c r="P331" s="140"/>
      <c r="Q331" s="140"/>
      <c r="R331" s="140"/>
      <c r="S331" s="140"/>
      <c r="T331" s="26">
        <f t="shared" si="64"/>
        <v>3.35</v>
      </c>
    </row>
    <row r="332" spans="2:20" x14ac:dyDescent="0.25">
      <c r="B332" s="134" t="s">
        <v>937</v>
      </c>
      <c r="C332" s="137" t="s">
        <v>600</v>
      </c>
      <c r="D332" s="135" t="s">
        <v>55</v>
      </c>
      <c r="E332" s="22" t="s">
        <v>56</v>
      </c>
      <c r="F332" s="23">
        <v>45344</v>
      </c>
      <c r="G332" s="24">
        <v>0.59</v>
      </c>
      <c r="H332" s="23">
        <v>45428</v>
      </c>
      <c r="I332" s="24">
        <v>0.63</v>
      </c>
      <c r="J332" s="23">
        <v>45520</v>
      </c>
      <c r="K332" s="24">
        <v>0.63</v>
      </c>
      <c r="L332" s="23">
        <v>45611</v>
      </c>
      <c r="M332" s="24">
        <v>0.63</v>
      </c>
      <c r="N332" s="25"/>
      <c r="O332" s="24"/>
      <c r="P332" s="24"/>
      <c r="Q332" s="24"/>
      <c r="R332" s="24"/>
      <c r="S332" s="24"/>
      <c r="T332" s="26">
        <f>G332+I332+K332+M332+O332</f>
        <v>2.48</v>
      </c>
    </row>
    <row r="333" spans="2:20" x14ac:dyDescent="0.25">
      <c r="B333" s="134" t="s">
        <v>559</v>
      </c>
      <c r="C333" s="137" t="s">
        <v>586</v>
      </c>
      <c r="D333" s="135" t="s">
        <v>55</v>
      </c>
      <c r="E333" s="22" t="s">
        <v>56</v>
      </c>
      <c r="F333" s="23">
        <v>45327</v>
      </c>
      <c r="G333" s="24">
        <v>0.27500000000000002</v>
      </c>
      <c r="H333" s="23">
        <v>45448</v>
      </c>
      <c r="I333" s="24">
        <v>0.27500000000000002</v>
      </c>
      <c r="J333" s="23">
        <v>45539</v>
      </c>
      <c r="K333" s="24">
        <v>0.27500000000000002</v>
      </c>
      <c r="L333" s="23">
        <v>45630</v>
      </c>
      <c r="M333" s="24">
        <v>0.27500000000000002</v>
      </c>
      <c r="N333" s="25"/>
      <c r="O333" s="24"/>
      <c r="P333" s="24"/>
      <c r="Q333" s="24"/>
      <c r="R333" s="24"/>
      <c r="S333" s="24"/>
      <c r="T333" s="26">
        <f t="shared" si="64"/>
        <v>1.1000000000000001</v>
      </c>
    </row>
    <row r="334" spans="2:20" x14ac:dyDescent="0.25">
      <c r="B334" s="134" t="s">
        <v>443</v>
      </c>
      <c r="C334" s="137" t="s">
        <v>444</v>
      </c>
      <c r="D334" s="135" t="s">
        <v>55</v>
      </c>
      <c r="E334" s="22" t="s">
        <v>56</v>
      </c>
      <c r="F334" s="23">
        <v>45338</v>
      </c>
      <c r="G334" s="24">
        <v>0.7</v>
      </c>
      <c r="H334" s="23">
        <v>45429</v>
      </c>
      <c r="I334" s="24">
        <v>0.72</v>
      </c>
      <c r="J334" s="23">
        <v>45523</v>
      </c>
      <c r="K334" s="24">
        <v>0.72</v>
      </c>
      <c r="L334" s="23">
        <v>45614</v>
      </c>
      <c r="M334" s="24">
        <v>0.72</v>
      </c>
      <c r="N334" s="25"/>
      <c r="O334" s="24"/>
      <c r="P334" s="24"/>
      <c r="Q334" s="24"/>
      <c r="R334" s="24"/>
      <c r="S334" s="24"/>
      <c r="T334" s="26">
        <f t="shared" si="64"/>
        <v>2.8599999999999994</v>
      </c>
    </row>
    <row r="335" spans="2:20" x14ac:dyDescent="0.25">
      <c r="B335" s="134" t="s">
        <v>571</v>
      </c>
      <c r="C335" s="137" t="s">
        <v>598</v>
      </c>
      <c r="D335" s="135" t="s">
        <v>55</v>
      </c>
      <c r="E335" s="22" t="s">
        <v>56</v>
      </c>
      <c r="F335" s="23">
        <v>45330</v>
      </c>
      <c r="G335" s="24">
        <v>0.56999999999999995</v>
      </c>
      <c r="H335" s="23">
        <v>45428</v>
      </c>
      <c r="I335" s="24">
        <v>0.56999999999999995</v>
      </c>
      <c r="J335" s="23">
        <v>45520</v>
      </c>
      <c r="K335" s="24">
        <v>0.56999999999999995</v>
      </c>
      <c r="L335" s="23">
        <v>45611</v>
      </c>
      <c r="M335" s="24">
        <v>0.61</v>
      </c>
      <c r="N335" s="25"/>
      <c r="O335" s="24"/>
      <c r="P335" s="24"/>
      <c r="Q335" s="24"/>
      <c r="R335" s="24"/>
      <c r="S335" s="24"/>
      <c r="T335" s="26">
        <f t="shared" si="64"/>
        <v>2.3199999999999998</v>
      </c>
    </row>
    <row r="336" spans="2:20" x14ac:dyDescent="0.25">
      <c r="B336" s="134" t="s">
        <v>576</v>
      </c>
      <c r="C336" s="137" t="s">
        <v>603</v>
      </c>
      <c r="D336" s="135" t="s">
        <v>55</v>
      </c>
      <c r="E336" s="22" t="s">
        <v>56</v>
      </c>
      <c r="F336" s="23">
        <v>45321</v>
      </c>
      <c r="G336" s="24">
        <v>1.3</v>
      </c>
      <c r="H336" s="23">
        <v>45419</v>
      </c>
      <c r="I336" s="24">
        <v>1.3</v>
      </c>
      <c r="J336" s="23">
        <v>45504</v>
      </c>
      <c r="K336" s="24">
        <v>1.3</v>
      </c>
      <c r="L336" s="23">
        <v>45596</v>
      </c>
      <c r="M336" s="24">
        <v>1.36</v>
      </c>
      <c r="N336" s="25"/>
      <c r="O336" s="24"/>
      <c r="P336" s="24"/>
      <c r="Q336" s="24"/>
      <c r="R336" s="24"/>
      <c r="S336" s="24"/>
      <c r="T336" s="26">
        <f t="shared" si="64"/>
        <v>5.2600000000000007</v>
      </c>
    </row>
    <row r="337" spans="2:20" x14ac:dyDescent="0.25">
      <c r="B337" s="134" t="s">
        <v>569</v>
      </c>
      <c r="C337" s="137" t="s">
        <v>596</v>
      </c>
      <c r="D337" s="135" t="s">
        <v>55</v>
      </c>
      <c r="E337" s="22" t="s">
        <v>56</v>
      </c>
      <c r="F337" s="23">
        <v>45350</v>
      </c>
      <c r="G337" s="24">
        <v>1.3</v>
      </c>
      <c r="H337" s="23">
        <v>45443</v>
      </c>
      <c r="I337" s="24">
        <v>1.3</v>
      </c>
      <c r="J337" s="23">
        <v>45534</v>
      </c>
      <c r="K337" s="24">
        <v>1.34</v>
      </c>
      <c r="L337" s="23">
        <v>45635</v>
      </c>
      <c r="M337" s="24">
        <v>1.34</v>
      </c>
      <c r="N337" s="25"/>
      <c r="O337" s="24"/>
      <c r="P337" s="24"/>
      <c r="Q337" s="24"/>
      <c r="R337" s="24"/>
      <c r="S337" s="24"/>
      <c r="T337" s="26">
        <f t="shared" si="64"/>
        <v>5.28</v>
      </c>
    </row>
    <row r="338" spans="2:20" x14ac:dyDescent="0.25">
      <c r="B338" s="134" t="s">
        <v>552</v>
      </c>
      <c r="C338" s="137" t="s">
        <v>579</v>
      </c>
      <c r="D338" s="135" t="s">
        <v>55</v>
      </c>
      <c r="E338" s="22" t="s">
        <v>56</v>
      </c>
      <c r="F338" s="23">
        <v>45359</v>
      </c>
      <c r="G338" s="24">
        <v>1.88</v>
      </c>
      <c r="H338" s="23">
        <v>45460</v>
      </c>
      <c r="I338" s="24">
        <v>2.1</v>
      </c>
      <c r="J338" s="23">
        <v>45551</v>
      </c>
      <c r="K338" s="24">
        <v>2.1</v>
      </c>
      <c r="L338" s="23">
        <v>45635</v>
      </c>
      <c r="M338" s="24">
        <v>2.1</v>
      </c>
      <c r="N338" s="25"/>
      <c r="O338" s="24"/>
      <c r="P338" s="24"/>
      <c r="Q338" s="24"/>
      <c r="R338" s="24"/>
      <c r="S338" s="24"/>
      <c r="T338" s="26">
        <f t="shared" si="64"/>
        <v>8.18</v>
      </c>
    </row>
    <row r="339" spans="2:20" x14ac:dyDescent="0.25">
      <c r="B339" s="134" t="s">
        <v>574</v>
      </c>
      <c r="C339" s="137" t="s">
        <v>601</v>
      </c>
      <c r="D339" s="135" t="s">
        <v>55</v>
      </c>
      <c r="E339" s="22" t="s">
        <v>56</v>
      </c>
      <c r="F339" s="23">
        <v>45378</v>
      </c>
      <c r="G339" s="24">
        <v>0.49</v>
      </c>
      <c r="H339" s="23">
        <v>45471</v>
      </c>
      <c r="I339" s="24">
        <v>0.49</v>
      </c>
      <c r="J339" s="23">
        <v>45565</v>
      </c>
      <c r="K339" s="24">
        <v>0.5</v>
      </c>
      <c r="L339" s="23">
        <v>45657</v>
      </c>
      <c r="M339" s="24">
        <v>0.5</v>
      </c>
      <c r="N339" s="25"/>
      <c r="O339" s="24"/>
      <c r="P339" s="24"/>
      <c r="Q339" s="24"/>
      <c r="R339" s="24"/>
      <c r="S339" s="24"/>
      <c r="T339" s="26">
        <f t="shared" si="64"/>
        <v>1.98</v>
      </c>
    </row>
    <row r="340" spans="2:20" x14ac:dyDescent="0.25">
      <c r="B340" s="134" t="s">
        <v>518</v>
      </c>
      <c r="C340" s="137" t="s">
        <v>519</v>
      </c>
      <c r="D340" s="135" t="s">
        <v>55</v>
      </c>
      <c r="E340" s="22" t="s">
        <v>56</v>
      </c>
      <c r="F340" s="23">
        <v>45391</v>
      </c>
      <c r="G340" s="24">
        <v>0.66500000000000004</v>
      </c>
      <c r="H340" s="23">
        <v>45483</v>
      </c>
      <c r="I340" s="24">
        <v>0.66500000000000004</v>
      </c>
      <c r="J340" s="23">
        <v>45575</v>
      </c>
      <c r="K340" s="24">
        <v>0.67749999999999999</v>
      </c>
      <c r="L340" s="23">
        <v>45667</v>
      </c>
      <c r="M340" s="24">
        <v>0.67749999999999999</v>
      </c>
      <c r="N340" s="25"/>
      <c r="O340" s="24"/>
      <c r="P340" s="24"/>
      <c r="Q340" s="24"/>
      <c r="R340" s="24"/>
      <c r="S340" s="24"/>
      <c r="T340" s="26">
        <f t="shared" si="64"/>
        <v>2.6850000000000005</v>
      </c>
    </row>
    <row r="341" spans="2:20" x14ac:dyDescent="0.25">
      <c r="B341" s="134" t="s">
        <v>522</v>
      </c>
      <c r="C341" s="137" t="s">
        <v>523</v>
      </c>
      <c r="D341" s="135" t="s">
        <v>55</v>
      </c>
      <c r="E341" s="22" t="s">
        <v>56</v>
      </c>
      <c r="F341" s="23">
        <v>45330</v>
      </c>
      <c r="G341" s="24">
        <v>0.52</v>
      </c>
      <c r="H341" s="23">
        <v>45428</v>
      </c>
      <c r="I341" s="24">
        <v>0.52</v>
      </c>
      <c r="J341" s="23">
        <v>45513</v>
      </c>
      <c r="K341" s="24">
        <v>0.52</v>
      </c>
      <c r="L341" s="23">
        <v>45608</v>
      </c>
      <c r="M341" s="24">
        <v>0.59</v>
      </c>
      <c r="N341" s="25"/>
      <c r="O341" s="24"/>
      <c r="P341" s="24"/>
      <c r="Q341" s="24"/>
      <c r="R341" s="24"/>
      <c r="S341" s="24"/>
      <c r="T341" s="26">
        <f t="shared" si="64"/>
        <v>2.15</v>
      </c>
    </row>
    <row r="342" spans="2:20" x14ac:dyDescent="0.25">
      <c r="B342" s="134" t="s">
        <v>631</v>
      </c>
      <c r="C342" s="137" t="s">
        <v>587</v>
      </c>
      <c r="D342" s="135" t="s">
        <v>55</v>
      </c>
      <c r="E342" s="22" t="s">
        <v>56</v>
      </c>
      <c r="F342" s="23">
        <v>45365</v>
      </c>
      <c r="G342" s="24">
        <v>0.20749999999999999</v>
      </c>
      <c r="H342" s="23">
        <v>45421</v>
      </c>
      <c r="I342" s="24">
        <v>0.20749999999999999</v>
      </c>
      <c r="J342" s="23">
        <v>45520</v>
      </c>
      <c r="K342" s="24">
        <v>0.20749999999999999</v>
      </c>
      <c r="L342" s="23">
        <v>45639</v>
      </c>
      <c r="M342" s="24">
        <v>0.20749999999999999</v>
      </c>
      <c r="N342" s="25"/>
      <c r="O342" s="24"/>
      <c r="P342" s="24"/>
      <c r="Q342" s="24"/>
      <c r="R342" s="24"/>
      <c r="S342" s="24"/>
      <c r="T342" s="26">
        <f t="shared" si="64"/>
        <v>0.83</v>
      </c>
    </row>
    <row r="343" spans="2:20" x14ac:dyDescent="0.25">
      <c r="B343" s="134" t="s">
        <v>536</v>
      </c>
      <c r="C343" s="137" t="s">
        <v>537</v>
      </c>
      <c r="D343" s="135" t="s">
        <v>55</v>
      </c>
      <c r="E343" s="22" t="s">
        <v>56</v>
      </c>
      <c r="F343" s="23">
        <v>45481</v>
      </c>
      <c r="G343" s="24">
        <v>0.45</v>
      </c>
      <c r="H343" s="23">
        <v>45642</v>
      </c>
      <c r="I343" s="24">
        <v>0.5</v>
      </c>
      <c r="J343" s="23"/>
      <c r="K343" s="24"/>
      <c r="L343" s="23"/>
      <c r="M343" s="24"/>
      <c r="N343" s="25"/>
      <c r="O343" s="24"/>
      <c r="P343" s="24"/>
      <c r="Q343" s="24"/>
      <c r="R343" s="24"/>
      <c r="S343" s="24"/>
      <c r="T343" s="26">
        <f t="shared" si="64"/>
        <v>0.95</v>
      </c>
    </row>
    <row r="344" spans="2:20" x14ac:dyDescent="0.25">
      <c r="B344" s="134" t="s">
        <v>538</v>
      </c>
      <c r="C344" s="137" t="s">
        <v>539</v>
      </c>
      <c r="D344" s="135" t="s">
        <v>55</v>
      </c>
      <c r="E344" s="22" t="s">
        <v>56</v>
      </c>
      <c r="F344" s="23">
        <v>45323</v>
      </c>
      <c r="G344" s="24">
        <v>0.35</v>
      </c>
      <c r="H344" s="23">
        <v>45421</v>
      </c>
      <c r="I344" s="24">
        <v>0.35</v>
      </c>
      <c r="J344" s="23">
        <v>45513</v>
      </c>
      <c r="K344" s="24">
        <v>0.4</v>
      </c>
      <c r="L344" s="23">
        <v>45604</v>
      </c>
      <c r="M344" s="24">
        <v>0.4</v>
      </c>
      <c r="N344" s="25"/>
      <c r="O344" s="24"/>
      <c r="P344" s="24"/>
      <c r="Q344" s="24"/>
      <c r="R344" s="24"/>
      <c r="S344" s="24"/>
      <c r="T344" s="26">
        <f t="shared" si="64"/>
        <v>1.5</v>
      </c>
    </row>
  </sheetData>
  <sheetProtection algorithmName="SHA-512" hashValue="JdLlSr0K6OE6joaX0HDvSxctW7Mb4AtV0Om2rXUvJ684I8PU/JC+geEj1uS1uHRnFy68rxj9f4j33rF5Adlunw==" saltValue="PADS3UTJEaz3PjeXOu5lnA==" spinCount="100000" sheet="1" objects="1" scenarios="1"/>
  <mergeCells count="4">
    <mergeCell ref="H9:I9"/>
    <mergeCell ref="J9:K9"/>
    <mergeCell ref="L9:M9"/>
    <mergeCell ref="F11:T11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04D87D-88BD-4599-B4BC-2DEA45DCD68B}">
  <dimension ref="A1:U338"/>
  <sheetViews>
    <sheetView showGridLines="0" zoomScale="85" zoomScaleNormal="85" workbookViewId="0">
      <pane xSplit="1" ySplit="12" topLeftCell="B286" activePane="bottomRight" state="frozen"/>
      <selection pane="topRight" activeCell="B1" sqref="B1"/>
      <selection pane="bottomLeft" activeCell="A13" sqref="A13"/>
      <selection pane="bottomRight" activeCell="B291" sqref="B291:E291"/>
    </sheetView>
  </sheetViews>
  <sheetFormatPr defaultColWidth="0" defaultRowHeight="15" x14ac:dyDescent="0.25"/>
  <cols>
    <col min="1" max="1" width="3" customWidth="1"/>
    <col min="2" max="2" width="46.5703125" bestFit="1" customWidth="1"/>
    <col min="3" max="3" width="13.7109375" bestFit="1" customWidth="1"/>
    <col min="4" max="4" width="15.5703125" bestFit="1" customWidth="1"/>
    <col min="5" max="5" width="9.28515625" customWidth="1"/>
    <col min="6" max="6" width="9.7109375" customWidth="1"/>
    <col min="7" max="7" width="9.7109375" bestFit="1" customWidth="1"/>
    <col min="8" max="8" width="9.7109375" customWidth="1"/>
    <col min="9" max="9" width="9.28515625" customWidth="1"/>
    <col min="10" max="10" width="9.5703125" bestFit="1" customWidth="1"/>
    <col min="11" max="11" width="9.28515625" customWidth="1"/>
    <col min="12" max="12" width="10" customWidth="1"/>
    <col min="13" max="13" width="9.28515625" customWidth="1"/>
    <col min="14" max="14" width="10" customWidth="1"/>
    <col min="15" max="15" width="9.28515625" customWidth="1"/>
    <col min="16" max="16" width="0.5703125" customWidth="1"/>
    <col min="17" max="20" width="10.7109375" customWidth="1"/>
    <col min="21" max="21" width="3" customWidth="1"/>
    <col min="22" max="16384" width="9.28515625" hidden="1"/>
  </cols>
  <sheetData>
    <row r="1" spans="2:20" x14ac:dyDescent="0.25"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2:20" x14ac:dyDescent="0.25"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2:20" x14ac:dyDescent="0.25"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2:20" x14ac:dyDescent="0.25"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</row>
    <row r="5" spans="2:20" x14ac:dyDescent="0.25"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2:20" x14ac:dyDescent="0.25"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2:20" x14ac:dyDescent="0.25"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2:20" ht="49.5" customHeight="1" x14ac:dyDescent="0.25"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2:20" ht="15" customHeight="1" x14ac:dyDescent="0.25">
      <c r="H9" s="178"/>
      <c r="I9" s="178"/>
      <c r="J9" s="179"/>
      <c r="K9" s="179"/>
      <c r="L9" s="180" t="s">
        <v>0</v>
      </c>
      <c r="M9" s="180"/>
      <c r="N9" s="1"/>
      <c r="O9" s="2" t="s">
        <v>1</v>
      </c>
      <c r="P9" s="2"/>
      <c r="Q9" s="2"/>
      <c r="R9" s="2"/>
      <c r="S9" s="2"/>
      <c r="T9" s="3">
        <v>45310</v>
      </c>
    </row>
    <row r="10" spans="2:20" ht="3.75" customHeight="1" x14ac:dyDescent="0.25">
      <c r="F10" s="1"/>
      <c r="G10" s="1"/>
      <c r="H10" s="1"/>
      <c r="I10" s="1"/>
      <c r="J10" s="1"/>
      <c r="K10" s="1"/>
      <c r="L10" s="1"/>
      <c r="M10" s="1"/>
      <c r="N10" s="1"/>
      <c r="O10" s="2"/>
      <c r="P10" s="2"/>
      <c r="Q10" s="2"/>
      <c r="R10" s="2"/>
      <c r="S10" s="2"/>
      <c r="T10" s="3"/>
    </row>
    <row r="11" spans="2:20" ht="50.25" customHeight="1" x14ac:dyDescent="0.25">
      <c r="B11" s="4" t="s">
        <v>2</v>
      </c>
      <c r="C11" s="5"/>
      <c r="D11" s="5"/>
      <c r="E11" s="5"/>
      <c r="F11" s="181" t="s">
        <v>909</v>
      </c>
      <c r="G11" s="181"/>
      <c r="H11" s="181"/>
      <c r="I11" s="181"/>
      <c r="J11" s="181"/>
      <c r="K11" s="181"/>
      <c r="L11" s="181"/>
      <c r="M11" s="181"/>
      <c r="N11" s="181"/>
      <c r="O11" s="181"/>
      <c r="P11" s="181"/>
      <c r="Q11" s="181"/>
      <c r="R11" s="181"/>
      <c r="S11" s="181"/>
      <c r="T11" s="177"/>
    </row>
    <row r="12" spans="2:20" x14ac:dyDescent="0.25">
      <c r="B12" s="7" t="s">
        <v>4</v>
      </c>
      <c r="C12" s="7" t="s">
        <v>5</v>
      </c>
      <c r="D12" s="7" t="s">
        <v>6</v>
      </c>
      <c r="E12" s="7" t="s">
        <v>7</v>
      </c>
      <c r="F12" s="8" t="s">
        <v>8</v>
      </c>
      <c r="G12" s="8"/>
      <c r="H12" s="8" t="s">
        <v>9</v>
      </c>
      <c r="I12" s="8"/>
      <c r="J12" s="8" t="s">
        <v>10</v>
      </c>
      <c r="K12" s="8"/>
      <c r="L12" s="8" t="s">
        <v>11</v>
      </c>
      <c r="M12" s="8"/>
      <c r="N12" s="8" t="s">
        <v>605</v>
      </c>
      <c r="O12" s="8"/>
      <c r="P12" s="8"/>
      <c r="Q12" s="8" t="s">
        <v>706</v>
      </c>
      <c r="R12" s="8" t="s">
        <v>707</v>
      </c>
      <c r="S12" s="8" t="s">
        <v>708</v>
      </c>
      <c r="T12" s="8" t="s">
        <v>705</v>
      </c>
    </row>
    <row r="13" spans="2:20" ht="6.75" customHeight="1" x14ac:dyDescent="0.25">
      <c r="B13" s="9"/>
      <c r="C13" s="9"/>
      <c r="D13" s="9"/>
      <c r="E13" s="10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</row>
    <row r="14" spans="2:20" x14ac:dyDescent="0.25">
      <c r="B14" s="117" t="s">
        <v>684</v>
      </c>
      <c r="C14" s="136" t="s">
        <v>18</v>
      </c>
      <c r="D14" s="14" t="s">
        <v>15</v>
      </c>
      <c r="E14" s="14" t="s">
        <v>16</v>
      </c>
      <c r="F14" s="15">
        <v>45075</v>
      </c>
      <c r="G14" s="16">
        <v>1.1100000000000001</v>
      </c>
      <c r="H14" s="15"/>
      <c r="I14" s="16"/>
      <c r="J14" s="15"/>
      <c r="K14" s="16"/>
      <c r="L14" s="15"/>
      <c r="M14" s="63"/>
      <c r="N14" s="17"/>
      <c r="O14" s="16"/>
      <c r="P14" s="16"/>
      <c r="Q14" s="152">
        <f t="shared" ref="Q14:Q73" si="0">IF(F14&lt;=Exp23Q1,G14,0)+IF(H14&lt;=Exp23Q1,I14,0)+IF(J14&lt;=Exp23Q1,K14,0)+IF(L14&lt;=Exp23Q1,M14,0)+IF(N14&lt;=Exp23Q1,O14,0)</f>
        <v>0</v>
      </c>
      <c r="R14" s="152">
        <f t="shared" ref="R14:R73" si="1">IF(F14&lt;=Exp23H1,G14,0)+IF(H14&lt;=Exp23H1,I14,0)+IF(J14&lt;=Exp23H1,K14,0)+IF(L14&lt;=Exp23H1,M14,0)+IF(N14&lt;=Exp23H1,O14,0)</f>
        <v>1.1100000000000001</v>
      </c>
      <c r="S14" s="152">
        <f t="shared" ref="S14:S73" si="2">IF(F14&lt;=Exp23Q3,G14,0)+IF(H14&lt;=Exp23Q3,I14,0)+IF(J14&lt;=Exp23Q3,K14,0)+IF(L14&lt;=Exp23Q3,M14,0)+IF(N14&lt;=Exp23Q3,O14,0)</f>
        <v>1.1100000000000001</v>
      </c>
      <c r="T14" s="18">
        <f t="shared" ref="T14:T84" si="3">G14+I14+K14+M14+O14</f>
        <v>1.1100000000000001</v>
      </c>
    </row>
    <row r="15" spans="2:20" x14ac:dyDescent="0.25">
      <c r="B15" s="117" t="s">
        <v>19</v>
      </c>
      <c r="C15" s="136" t="s">
        <v>20</v>
      </c>
      <c r="D15" s="14" t="s">
        <v>15</v>
      </c>
      <c r="E15" s="14" t="s">
        <v>21</v>
      </c>
      <c r="F15" s="15">
        <v>45012</v>
      </c>
      <c r="G15" s="16">
        <v>0.84</v>
      </c>
      <c r="H15" s="15"/>
      <c r="I15" s="16"/>
      <c r="J15" s="15"/>
      <c r="K15" s="16"/>
      <c r="L15" s="15"/>
      <c r="M15" s="63"/>
      <c r="N15" s="17"/>
      <c r="O15" s="16"/>
      <c r="P15" s="16"/>
      <c r="Q15" s="152">
        <f t="shared" si="0"/>
        <v>0</v>
      </c>
      <c r="R15" s="152">
        <f t="shared" si="1"/>
        <v>0.84</v>
      </c>
      <c r="S15" s="152">
        <f t="shared" si="2"/>
        <v>0.84</v>
      </c>
      <c r="T15" s="18">
        <f t="shared" si="3"/>
        <v>0.84</v>
      </c>
    </row>
    <row r="16" spans="2:20" x14ac:dyDescent="0.25">
      <c r="B16" s="117" t="s">
        <v>715</v>
      </c>
      <c r="C16" s="136" t="s">
        <v>716</v>
      </c>
      <c r="D16" s="14" t="s">
        <v>15</v>
      </c>
      <c r="E16" s="14" t="s">
        <v>16</v>
      </c>
      <c r="F16" s="15">
        <v>45037</v>
      </c>
      <c r="G16" s="16">
        <v>0.67</v>
      </c>
      <c r="H16" s="15">
        <v>45154</v>
      </c>
      <c r="I16" s="16">
        <v>0.62</v>
      </c>
      <c r="J16" s="15"/>
      <c r="K16" s="16"/>
      <c r="L16" s="15"/>
      <c r="M16" s="63"/>
      <c r="N16" s="17"/>
      <c r="O16" s="16"/>
      <c r="P16" s="16"/>
      <c r="Q16" s="152">
        <f t="shared" si="0"/>
        <v>0</v>
      </c>
      <c r="R16" s="152">
        <f t="shared" si="1"/>
        <v>0.67</v>
      </c>
      <c r="S16" s="152">
        <f t="shared" si="2"/>
        <v>1.29</v>
      </c>
      <c r="T16" s="18">
        <f t="shared" si="3"/>
        <v>1.29</v>
      </c>
    </row>
    <row r="17" spans="2:20" x14ac:dyDescent="0.25">
      <c r="B17" s="117" t="s">
        <v>22</v>
      </c>
      <c r="C17" s="136" t="s">
        <v>23</v>
      </c>
      <c r="D17" s="14" t="s">
        <v>24</v>
      </c>
      <c r="E17" s="14" t="s">
        <v>16</v>
      </c>
      <c r="F17" s="153">
        <v>45069</v>
      </c>
      <c r="G17" s="154">
        <f>0.71*0.98939488</f>
        <v>0.70247036479999991</v>
      </c>
      <c r="H17" s="15"/>
      <c r="I17" s="16"/>
      <c r="J17" s="15"/>
      <c r="K17" s="16"/>
      <c r="L17" s="15"/>
      <c r="M17" s="63"/>
      <c r="N17" s="17"/>
      <c r="O17" s="16"/>
      <c r="P17" s="16"/>
      <c r="Q17" s="152">
        <f t="shared" si="0"/>
        <v>0</v>
      </c>
      <c r="R17" s="152">
        <f t="shared" si="1"/>
        <v>0.70247036479999991</v>
      </c>
      <c r="S17" s="152">
        <f t="shared" si="2"/>
        <v>0.70247036479999991</v>
      </c>
      <c r="T17" s="18">
        <f t="shared" si="3"/>
        <v>0.70247036479999991</v>
      </c>
    </row>
    <row r="18" spans="2:20" x14ac:dyDescent="0.25">
      <c r="B18" s="117" t="s">
        <v>25</v>
      </c>
      <c r="C18" s="136" t="s">
        <v>26</v>
      </c>
      <c r="D18" s="14" t="s">
        <v>27</v>
      </c>
      <c r="E18" s="14" t="s">
        <v>16</v>
      </c>
      <c r="F18" s="15">
        <v>45075</v>
      </c>
      <c r="G18" s="16">
        <v>3.1</v>
      </c>
      <c r="H18" s="15"/>
      <c r="I18" s="16"/>
      <c r="J18" s="15"/>
      <c r="K18" s="16"/>
      <c r="L18" s="15"/>
      <c r="M18" s="63"/>
      <c r="N18" s="17"/>
      <c r="O18" s="16"/>
      <c r="P18" s="16"/>
      <c r="Q18" s="152">
        <f t="shared" si="0"/>
        <v>0</v>
      </c>
      <c r="R18" s="152">
        <f t="shared" si="1"/>
        <v>3.1</v>
      </c>
      <c r="S18" s="152">
        <f t="shared" si="2"/>
        <v>3.1</v>
      </c>
      <c r="T18" s="18">
        <f t="shared" si="3"/>
        <v>3.1</v>
      </c>
    </row>
    <row r="19" spans="2:20" x14ac:dyDescent="0.25">
      <c r="B19" s="117" t="s">
        <v>863</v>
      </c>
      <c r="C19" s="136" t="s">
        <v>864</v>
      </c>
      <c r="D19" s="14" t="s">
        <v>15</v>
      </c>
      <c r="E19" s="14" t="s">
        <v>16</v>
      </c>
      <c r="F19" s="15">
        <v>44946</v>
      </c>
      <c r="G19" s="16">
        <v>0.48</v>
      </c>
      <c r="H19" s="15">
        <v>45111</v>
      </c>
      <c r="I19" s="16">
        <v>1.482</v>
      </c>
      <c r="J19" s="15"/>
      <c r="K19" s="16"/>
      <c r="L19" s="15"/>
      <c r="M19" s="63"/>
      <c r="N19" s="17"/>
      <c r="O19" s="16"/>
      <c r="P19" s="16"/>
      <c r="Q19" s="152">
        <f t="shared" si="0"/>
        <v>0.48</v>
      </c>
      <c r="R19" s="152">
        <f t="shared" si="1"/>
        <v>0.48</v>
      </c>
      <c r="S19" s="152">
        <f t="shared" si="2"/>
        <v>1.962</v>
      </c>
      <c r="T19" s="18">
        <f t="shared" si="3"/>
        <v>1.962</v>
      </c>
    </row>
    <row r="20" spans="2:20" x14ac:dyDescent="0.25">
      <c r="B20" s="117" t="s">
        <v>28</v>
      </c>
      <c r="C20" s="136" t="s">
        <v>29</v>
      </c>
      <c r="D20" s="14" t="s">
        <v>15</v>
      </c>
      <c r="E20" s="14" t="s">
        <v>21</v>
      </c>
      <c r="F20" s="15">
        <v>45034</v>
      </c>
      <c r="G20" s="16">
        <v>2.5</v>
      </c>
      <c r="H20" s="15"/>
      <c r="I20" s="16"/>
      <c r="J20" s="15"/>
      <c r="K20" s="16"/>
      <c r="L20" s="15"/>
      <c r="M20" s="63"/>
      <c r="N20" s="17"/>
      <c r="O20" s="16"/>
      <c r="P20" s="16"/>
      <c r="Q20" s="152">
        <f t="shared" si="0"/>
        <v>0</v>
      </c>
      <c r="R20" s="152">
        <f t="shared" si="1"/>
        <v>2.5</v>
      </c>
      <c r="S20" s="152">
        <f t="shared" si="2"/>
        <v>2.5</v>
      </c>
      <c r="T20" s="18">
        <f t="shared" si="3"/>
        <v>2.5</v>
      </c>
    </row>
    <row r="21" spans="2:20" x14ac:dyDescent="0.25">
      <c r="B21" s="117" t="s">
        <v>30</v>
      </c>
      <c r="C21" s="136" t="s">
        <v>31</v>
      </c>
      <c r="D21" s="14" t="s">
        <v>15</v>
      </c>
      <c r="E21" s="14" t="s">
        <v>16</v>
      </c>
      <c r="F21" s="15">
        <v>45058</v>
      </c>
      <c r="G21" s="16">
        <v>0.7</v>
      </c>
      <c r="H21" s="15"/>
      <c r="I21" s="16"/>
      <c r="J21" s="15"/>
      <c r="K21" s="16"/>
      <c r="L21" s="15"/>
      <c r="M21" s="63"/>
      <c r="N21" s="17"/>
      <c r="O21" s="16"/>
      <c r="P21" s="16"/>
      <c r="Q21" s="152">
        <f t="shared" si="0"/>
        <v>0</v>
      </c>
      <c r="R21" s="152">
        <f t="shared" si="1"/>
        <v>0.7</v>
      </c>
      <c r="S21" s="152">
        <f t="shared" si="2"/>
        <v>0.7</v>
      </c>
      <c r="T21" s="18">
        <f t="shared" si="3"/>
        <v>0.7</v>
      </c>
    </row>
    <row r="22" spans="2:20" x14ac:dyDescent="0.25">
      <c r="B22" s="117" t="s">
        <v>32</v>
      </c>
      <c r="C22" s="136" t="s">
        <v>33</v>
      </c>
      <c r="D22" s="14" t="s">
        <v>15</v>
      </c>
      <c r="E22" s="14" t="s">
        <v>16</v>
      </c>
      <c r="F22" s="15">
        <v>45075</v>
      </c>
      <c r="G22" s="16">
        <v>0.12</v>
      </c>
      <c r="H22" s="15">
        <v>45167</v>
      </c>
      <c r="I22" s="16">
        <v>0.14000000000000001</v>
      </c>
      <c r="J22" s="15"/>
      <c r="K22" s="16"/>
      <c r="L22" s="15"/>
      <c r="M22" s="63"/>
      <c r="N22" s="17"/>
      <c r="O22" s="16"/>
      <c r="P22" s="16"/>
      <c r="Q22" s="152">
        <f t="shared" si="0"/>
        <v>0</v>
      </c>
      <c r="R22" s="152">
        <f t="shared" si="1"/>
        <v>0.12</v>
      </c>
      <c r="S22" s="152">
        <f t="shared" si="2"/>
        <v>0.26</v>
      </c>
      <c r="T22" s="18">
        <f t="shared" si="3"/>
        <v>0.26</v>
      </c>
    </row>
    <row r="23" spans="2:20" x14ac:dyDescent="0.25">
      <c r="B23" s="117" t="s">
        <v>630</v>
      </c>
      <c r="C23" s="136" t="s">
        <v>625</v>
      </c>
      <c r="D23" s="14" t="s">
        <v>15</v>
      </c>
      <c r="E23" s="14" t="s">
        <v>16</v>
      </c>
      <c r="F23" s="15">
        <v>45048</v>
      </c>
      <c r="G23" s="16">
        <v>4.75</v>
      </c>
      <c r="H23" s="15"/>
      <c r="I23" s="16"/>
      <c r="J23" s="15"/>
      <c r="K23" s="16"/>
      <c r="L23" s="15"/>
      <c r="M23" s="63"/>
      <c r="N23" s="17"/>
      <c r="O23" s="16"/>
      <c r="P23" s="16"/>
      <c r="Q23" s="152">
        <f t="shared" si="0"/>
        <v>0</v>
      </c>
      <c r="R23" s="152">
        <f t="shared" si="1"/>
        <v>4.75</v>
      </c>
      <c r="S23" s="152">
        <f t="shared" si="2"/>
        <v>4.75</v>
      </c>
      <c r="T23" s="18">
        <f t="shared" si="3"/>
        <v>4.75</v>
      </c>
    </row>
    <row r="24" spans="2:20" x14ac:dyDescent="0.25">
      <c r="B24" s="117" t="s">
        <v>34</v>
      </c>
      <c r="C24" s="136" t="s">
        <v>35</v>
      </c>
      <c r="D24" s="14" t="s">
        <v>27</v>
      </c>
      <c r="E24" s="14" t="s">
        <v>16</v>
      </c>
      <c r="F24" s="15">
        <v>45077</v>
      </c>
      <c r="G24" s="16">
        <v>1.5</v>
      </c>
      <c r="H24" s="15">
        <v>45224</v>
      </c>
      <c r="I24" s="16">
        <v>1.5</v>
      </c>
      <c r="J24" s="15"/>
      <c r="K24" s="16"/>
      <c r="L24" s="15"/>
      <c r="M24" s="63"/>
      <c r="N24" s="17"/>
      <c r="O24" s="16"/>
      <c r="P24" s="16"/>
      <c r="Q24" s="152">
        <f t="shared" si="0"/>
        <v>0</v>
      </c>
      <c r="R24" s="152">
        <f t="shared" si="1"/>
        <v>1.5</v>
      </c>
      <c r="S24" s="152">
        <f t="shared" si="2"/>
        <v>1.5</v>
      </c>
      <c r="T24" s="18">
        <f t="shared" si="3"/>
        <v>3</v>
      </c>
    </row>
    <row r="25" spans="2:20" x14ac:dyDescent="0.25">
      <c r="B25" s="117" t="s">
        <v>36</v>
      </c>
      <c r="C25" s="136" t="s">
        <v>37</v>
      </c>
      <c r="D25" s="14" t="s">
        <v>15</v>
      </c>
      <c r="E25" s="14" t="s">
        <v>16</v>
      </c>
      <c r="F25" s="15">
        <v>45030</v>
      </c>
      <c r="G25" s="16">
        <v>0.59</v>
      </c>
      <c r="H25" s="15">
        <v>45149</v>
      </c>
      <c r="I25" s="16">
        <v>0.49</v>
      </c>
      <c r="J25" s="15"/>
      <c r="K25" s="16"/>
      <c r="L25" s="15"/>
      <c r="M25" s="63"/>
      <c r="N25" s="17"/>
      <c r="O25" s="16"/>
      <c r="P25" s="16"/>
      <c r="Q25" s="152">
        <f t="shared" si="0"/>
        <v>0</v>
      </c>
      <c r="R25" s="152">
        <f t="shared" si="1"/>
        <v>0.59</v>
      </c>
      <c r="S25" s="152">
        <f t="shared" si="2"/>
        <v>1.08</v>
      </c>
      <c r="T25" s="18">
        <f t="shared" si="3"/>
        <v>1.08</v>
      </c>
    </row>
    <row r="26" spans="2:20" x14ac:dyDescent="0.25">
      <c r="B26" s="117" t="s">
        <v>41</v>
      </c>
      <c r="C26" s="136" t="s">
        <v>42</v>
      </c>
      <c r="D26" s="14" t="s">
        <v>24</v>
      </c>
      <c r="E26" s="14" t="s">
        <v>16</v>
      </c>
      <c r="F26" s="15">
        <v>45061</v>
      </c>
      <c r="G26" s="16">
        <v>2.95</v>
      </c>
      <c r="H26" s="15"/>
      <c r="I26" s="16"/>
      <c r="J26" s="15"/>
      <c r="K26" s="16"/>
      <c r="L26" s="15"/>
      <c r="M26" s="63"/>
      <c r="N26" s="17"/>
      <c r="O26" s="16"/>
      <c r="P26" s="16"/>
      <c r="Q26" s="152">
        <f t="shared" si="0"/>
        <v>0</v>
      </c>
      <c r="R26" s="152">
        <f t="shared" si="1"/>
        <v>2.95</v>
      </c>
      <c r="S26" s="152">
        <f t="shared" si="2"/>
        <v>2.95</v>
      </c>
      <c r="T26" s="18">
        <f t="shared" si="3"/>
        <v>2.95</v>
      </c>
    </row>
    <row r="27" spans="2:20" x14ac:dyDescent="0.25">
      <c r="B27" s="117" t="s">
        <v>43</v>
      </c>
      <c r="C27" s="136" t="s">
        <v>44</v>
      </c>
      <c r="D27" s="14" t="s">
        <v>24</v>
      </c>
      <c r="E27" s="14" t="s">
        <v>16</v>
      </c>
      <c r="F27" s="15">
        <v>45041</v>
      </c>
      <c r="G27" s="16">
        <v>1.8</v>
      </c>
      <c r="H27" s="15"/>
      <c r="I27" s="16"/>
      <c r="J27" s="15"/>
      <c r="K27" s="16"/>
      <c r="L27" s="15"/>
      <c r="M27" s="63"/>
      <c r="N27" s="17"/>
      <c r="O27" s="16"/>
      <c r="P27" s="16"/>
      <c r="Q27" s="152">
        <f t="shared" si="0"/>
        <v>0</v>
      </c>
      <c r="R27" s="152">
        <f t="shared" si="1"/>
        <v>1.8</v>
      </c>
      <c r="S27" s="152">
        <f t="shared" si="2"/>
        <v>1.8</v>
      </c>
      <c r="T27" s="18">
        <f t="shared" si="3"/>
        <v>1.8</v>
      </c>
    </row>
    <row r="28" spans="2:20" x14ac:dyDescent="0.25">
      <c r="B28" s="117" t="s">
        <v>930</v>
      </c>
      <c r="C28" s="136" t="s">
        <v>931</v>
      </c>
      <c r="D28" s="14" t="s">
        <v>15</v>
      </c>
      <c r="E28" s="14" t="s">
        <v>56</v>
      </c>
      <c r="F28" s="15">
        <v>44972</v>
      </c>
      <c r="G28" s="16">
        <v>0.55000000000000004</v>
      </c>
      <c r="H28" s="15">
        <v>45049</v>
      </c>
      <c r="I28" s="16">
        <v>0.55000000000000004</v>
      </c>
      <c r="J28" s="15">
        <v>45125</v>
      </c>
      <c r="K28" s="16">
        <v>0.55000000000000004</v>
      </c>
      <c r="L28" s="15">
        <v>45231</v>
      </c>
      <c r="M28" s="63">
        <v>0.55000000000000004</v>
      </c>
      <c r="N28" s="17"/>
      <c r="O28" s="16"/>
      <c r="P28" s="16"/>
      <c r="Q28" s="152">
        <f t="shared" ref="Q28" si="4">IF(F28&lt;=Exp23Q1,G28,0)+IF(H28&lt;=Exp23Q1,I28,0)+IF(J28&lt;=Exp23Q1,K28,0)+IF(L28&lt;=Exp23Q1,M28,0)+IF(N28&lt;=Exp23Q1,O28,0)</f>
        <v>0.55000000000000004</v>
      </c>
      <c r="R28" s="152">
        <f t="shared" ref="R28" si="5">IF(F28&lt;=Exp23H1,G28,0)+IF(H28&lt;=Exp23H1,I28,0)+IF(J28&lt;=Exp23H1,K28,0)+IF(L28&lt;=Exp23H1,M28,0)+IF(N28&lt;=Exp23H1,O28,0)</f>
        <v>1.1000000000000001</v>
      </c>
      <c r="S28" s="152">
        <f t="shared" ref="S28" si="6">IF(F28&lt;=Exp23Q3,G28,0)+IF(H28&lt;=Exp23Q3,I28,0)+IF(J28&lt;=Exp23Q3,K28,0)+IF(L28&lt;=Exp23Q3,M28,0)+IF(N28&lt;=Exp23Q3,O28,0)</f>
        <v>1.6500000000000001</v>
      </c>
      <c r="T28" s="18">
        <f t="shared" ref="T28" si="7">G28+I28+K28+M28+O28</f>
        <v>2.2000000000000002</v>
      </c>
    </row>
    <row r="29" spans="2:20" x14ac:dyDescent="0.25">
      <c r="B29" s="117" t="s">
        <v>45</v>
      </c>
      <c r="C29" s="136" t="s">
        <v>46</v>
      </c>
      <c r="D29" s="14" t="s">
        <v>15</v>
      </c>
      <c r="E29" s="14" t="s">
        <v>16</v>
      </c>
      <c r="F29" s="15">
        <v>45041</v>
      </c>
      <c r="G29" s="16">
        <v>1.54</v>
      </c>
      <c r="H29" s="15">
        <v>45229</v>
      </c>
      <c r="I29" s="16">
        <v>0.44</v>
      </c>
      <c r="J29" s="15"/>
      <c r="K29" s="16"/>
      <c r="L29" s="15"/>
      <c r="M29" s="63"/>
      <c r="N29" s="17"/>
      <c r="O29" s="16"/>
      <c r="P29" s="16"/>
      <c r="Q29" s="152">
        <f t="shared" si="0"/>
        <v>0</v>
      </c>
      <c r="R29" s="152">
        <f t="shared" si="1"/>
        <v>1.54</v>
      </c>
      <c r="S29" s="152">
        <f t="shared" si="2"/>
        <v>1.54</v>
      </c>
      <c r="T29" s="18">
        <f t="shared" si="3"/>
        <v>1.98</v>
      </c>
    </row>
    <row r="30" spans="2:20" x14ac:dyDescent="0.25">
      <c r="B30" s="117" t="s">
        <v>828</v>
      </c>
      <c r="C30" s="136" t="s">
        <v>829</v>
      </c>
      <c r="D30" s="14" t="s">
        <v>15</v>
      </c>
      <c r="E30" s="14" t="s">
        <v>200</v>
      </c>
      <c r="F30" s="15">
        <v>45042</v>
      </c>
      <c r="G30" s="16">
        <v>6</v>
      </c>
      <c r="H30" s="15"/>
      <c r="I30" s="16"/>
      <c r="J30" s="15"/>
      <c r="K30" s="16"/>
      <c r="L30" s="15"/>
      <c r="M30" s="63"/>
      <c r="N30" s="17"/>
      <c r="O30" s="16"/>
      <c r="P30" s="16"/>
      <c r="Q30" s="152">
        <f t="shared" si="0"/>
        <v>0</v>
      </c>
      <c r="R30" s="152">
        <f t="shared" si="1"/>
        <v>6</v>
      </c>
      <c r="S30" s="152">
        <f t="shared" si="2"/>
        <v>6</v>
      </c>
      <c r="T30" s="18">
        <f t="shared" si="3"/>
        <v>6</v>
      </c>
    </row>
    <row r="31" spans="2:20" x14ac:dyDescent="0.25">
      <c r="B31" s="117" t="s">
        <v>47</v>
      </c>
      <c r="C31" s="136" t="s">
        <v>48</v>
      </c>
      <c r="D31" s="14" t="s">
        <v>15</v>
      </c>
      <c r="E31" s="14" t="s">
        <v>16</v>
      </c>
      <c r="F31" s="15">
        <v>45051</v>
      </c>
      <c r="G31" s="16">
        <v>11.4</v>
      </c>
      <c r="H31" s="15"/>
      <c r="I31" s="16"/>
      <c r="J31" s="15"/>
      <c r="K31" s="16"/>
      <c r="L31" s="15"/>
      <c r="M31" s="63"/>
      <c r="N31" s="17"/>
      <c r="O31" s="16"/>
      <c r="P31" s="16"/>
      <c r="Q31" s="152">
        <f t="shared" si="0"/>
        <v>0</v>
      </c>
      <c r="R31" s="152">
        <f t="shared" si="1"/>
        <v>11.4</v>
      </c>
      <c r="S31" s="152">
        <f t="shared" si="2"/>
        <v>11.4</v>
      </c>
      <c r="T31" s="18">
        <f t="shared" si="3"/>
        <v>11.4</v>
      </c>
    </row>
    <row r="32" spans="2:20" x14ac:dyDescent="0.25">
      <c r="B32" s="117" t="s">
        <v>49</v>
      </c>
      <c r="C32" s="136" t="s">
        <v>50</v>
      </c>
      <c r="D32" s="14" t="s">
        <v>24</v>
      </c>
      <c r="E32" s="14" t="s">
        <v>16</v>
      </c>
      <c r="F32" s="15">
        <v>45124</v>
      </c>
      <c r="G32" s="16">
        <v>0.25</v>
      </c>
      <c r="H32" s="15"/>
      <c r="I32" s="16"/>
      <c r="J32" s="15"/>
      <c r="K32" s="16"/>
      <c r="L32" s="15"/>
      <c r="M32" s="63"/>
      <c r="N32" s="17"/>
      <c r="O32" s="16"/>
      <c r="P32" s="16"/>
      <c r="Q32" s="152">
        <f t="shared" si="0"/>
        <v>0</v>
      </c>
      <c r="R32" s="152">
        <f t="shared" si="1"/>
        <v>0</v>
      </c>
      <c r="S32" s="152">
        <f t="shared" si="2"/>
        <v>0.25</v>
      </c>
      <c r="T32" s="18">
        <f t="shared" si="3"/>
        <v>0.25</v>
      </c>
    </row>
    <row r="33" spans="1:21" x14ac:dyDescent="0.25">
      <c r="B33" s="117" t="s">
        <v>51</v>
      </c>
      <c r="C33" s="136" t="s">
        <v>52</v>
      </c>
      <c r="D33" s="14" t="s">
        <v>15</v>
      </c>
      <c r="E33" s="14" t="s">
        <v>16</v>
      </c>
      <c r="F33" s="15">
        <v>45118</v>
      </c>
      <c r="G33" s="16">
        <v>0.74</v>
      </c>
      <c r="H33" s="15"/>
      <c r="I33" s="16"/>
      <c r="J33" s="15"/>
      <c r="K33" s="16"/>
      <c r="L33" s="15"/>
      <c r="M33" s="63"/>
      <c r="N33" s="17"/>
      <c r="O33" s="16"/>
      <c r="P33" s="16"/>
      <c r="Q33" s="152">
        <f t="shared" si="0"/>
        <v>0</v>
      </c>
      <c r="R33" s="152">
        <f t="shared" si="1"/>
        <v>0</v>
      </c>
      <c r="S33" s="152">
        <f t="shared" si="2"/>
        <v>0.74</v>
      </c>
      <c r="T33" s="18">
        <f t="shared" si="3"/>
        <v>0.74</v>
      </c>
    </row>
    <row r="34" spans="1:21" x14ac:dyDescent="0.25">
      <c r="B34" s="117" t="s">
        <v>896</v>
      </c>
      <c r="C34" s="136" t="s">
        <v>897</v>
      </c>
      <c r="D34" s="14" t="s">
        <v>15</v>
      </c>
      <c r="E34" s="14" t="s">
        <v>16</v>
      </c>
      <c r="F34" s="15">
        <v>45054</v>
      </c>
      <c r="G34" s="16">
        <v>0.4</v>
      </c>
      <c r="H34" s="15">
        <v>45138</v>
      </c>
      <c r="I34" s="16">
        <v>0.4</v>
      </c>
      <c r="J34" s="15"/>
      <c r="K34" s="16"/>
      <c r="L34" s="15"/>
      <c r="M34" s="63"/>
      <c r="N34" s="17"/>
      <c r="O34" s="16"/>
      <c r="P34" s="16"/>
      <c r="Q34" s="152">
        <f t="shared" si="0"/>
        <v>0</v>
      </c>
      <c r="R34" s="152">
        <f t="shared" si="1"/>
        <v>0.4</v>
      </c>
      <c r="S34" s="152">
        <f t="shared" si="2"/>
        <v>0.8</v>
      </c>
      <c r="T34" s="18">
        <f t="shared" si="3"/>
        <v>0.8</v>
      </c>
    </row>
    <row r="35" spans="1:21" x14ac:dyDescent="0.25">
      <c r="B35" s="117" t="s">
        <v>886</v>
      </c>
      <c r="C35" s="136" t="s">
        <v>887</v>
      </c>
      <c r="D35" s="14" t="s">
        <v>15</v>
      </c>
      <c r="E35" s="14" t="s">
        <v>16</v>
      </c>
      <c r="F35" s="15">
        <v>45016</v>
      </c>
      <c r="G35" s="16">
        <v>2.1</v>
      </c>
      <c r="H35" s="15"/>
      <c r="I35" s="16"/>
      <c r="J35" s="15"/>
      <c r="K35" s="16"/>
      <c r="L35" s="15"/>
      <c r="M35" s="63"/>
      <c r="N35" s="17"/>
      <c r="O35" s="16"/>
      <c r="P35" s="16"/>
      <c r="Q35" s="152">
        <f t="shared" si="0"/>
        <v>0</v>
      </c>
      <c r="R35" s="152">
        <f t="shared" si="1"/>
        <v>2.1</v>
      </c>
      <c r="S35" s="152">
        <f t="shared" si="2"/>
        <v>2.1</v>
      </c>
      <c r="T35" s="18">
        <f t="shared" si="3"/>
        <v>2.1</v>
      </c>
    </row>
    <row r="36" spans="1:21" x14ac:dyDescent="0.25">
      <c r="B36" s="117" t="s">
        <v>57</v>
      </c>
      <c r="C36" s="136" t="s">
        <v>58</v>
      </c>
      <c r="D36" s="14" t="s">
        <v>15</v>
      </c>
      <c r="E36" s="14" t="s">
        <v>56</v>
      </c>
      <c r="F36" s="15">
        <v>45001</v>
      </c>
      <c r="G36" s="16">
        <v>0.74</v>
      </c>
      <c r="H36" s="15">
        <v>45155</v>
      </c>
      <c r="I36" s="16">
        <v>0.55000000000000004</v>
      </c>
      <c r="J36" s="15"/>
      <c r="K36" s="16"/>
      <c r="L36" s="15"/>
      <c r="M36" s="63"/>
      <c r="N36" s="17"/>
      <c r="O36" s="16"/>
      <c r="P36" s="16"/>
      <c r="Q36" s="152">
        <f t="shared" si="0"/>
        <v>0.74</v>
      </c>
      <c r="R36" s="152">
        <f t="shared" si="1"/>
        <v>0.74</v>
      </c>
      <c r="S36" s="152">
        <f t="shared" si="2"/>
        <v>1.29</v>
      </c>
      <c r="T36" s="18">
        <f t="shared" si="3"/>
        <v>1.29</v>
      </c>
    </row>
    <row r="37" spans="1:21" x14ac:dyDescent="0.25">
      <c r="B37" s="117" t="s">
        <v>59</v>
      </c>
      <c r="C37" s="136" t="s">
        <v>60</v>
      </c>
      <c r="D37" s="14" t="s">
        <v>27</v>
      </c>
      <c r="E37" s="14" t="s">
        <v>16</v>
      </c>
      <c r="F37" s="15">
        <v>45049</v>
      </c>
      <c r="G37" s="16">
        <v>0.75</v>
      </c>
      <c r="H37" s="15"/>
      <c r="I37" s="16"/>
      <c r="J37" s="15"/>
      <c r="K37" s="16"/>
      <c r="L37" s="15"/>
      <c r="M37" s="63"/>
      <c r="N37" s="17"/>
      <c r="O37" s="16"/>
      <c r="P37" s="16"/>
      <c r="Q37" s="152">
        <f t="shared" si="0"/>
        <v>0</v>
      </c>
      <c r="R37" s="152">
        <f t="shared" si="1"/>
        <v>0.75</v>
      </c>
      <c r="S37" s="152">
        <f t="shared" si="2"/>
        <v>0.75</v>
      </c>
      <c r="T37" s="18">
        <f t="shared" si="3"/>
        <v>0.75</v>
      </c>
    </row>
    <row r="38" spans="1:21" x14ac:dyDescent="0.25">
      <c r="B38" s="117" t="s">
        <v>912</v>
      </c>
      <c r="C38" s="136" t="s">
        <v>910</v>
      </c>
      <c r="D38" s="14" t="s">
        <v>15</v>
      </c>
      <c r="E38" s="14" t="s">
        <v>911</v>
      </c>
      <c r="F38" s="153">
        <v>45014</v>
      </c>
      <c r="G38" s="154">
        <f>2000*0.82842223</f>
        <v>1656.84446</v>
      </c>
      <c r="H38" s="15"/>
      <c r="I38" s="16"/>
      <c r="J38" s="15"/>
      <c r="K38" s="16"/>
      <c r="L38" s="15"/>
      <c r="M38" s="63"/>
      <c r="N38" s="17"/>
      <c r="O38" s="16"/>
      <c r="P38" s="16"/>
      <c r="Q38" s="152">
        <f t="shared" ref="Q38" si="8">IF(F38&lt;=Exp23Q1,G38,0)+IF(H38&lt;=Exp23Q1,I38,0)+IF(J38&lt;=Exp23Q1,K38,0)+IF(L38&lt;=Exp23Q1,M38,0)+IF(N38&lt;=Exp23Q1,O38,0)</f>
        <v>0</v>
      </c>
      <c r="R38" s="152">
        <f t="shared" ref="R38" si="9">IF(F38&lt;=Exp23H1,G38,0)+IF(H38&lt;=Exp23H1,I38,0)+IF(J38&lt;=Exp23H1,K38,0)+IF(L38&lt;=Exp23H1,M38,0)+IF(N38&lt;=Exp23H1,O38,0)</f>
        <v>1656.84446</v>
      </c>
      <c r="S38" s="152">
        <f t="shared" ref="S38" si="10">IF(F38&lt;=Exp23Q3,G38,0)+IF(H38&lt;=Exp23Q3,I38,0)+IF(J38&lt;=Exp23Q3,K38,0)+IF(L38&lt;=Exp23Q3,M38,0)+IF(N38&lt;=Exp23Q3,O38,0)</f>
        <v>1656.84446</v>
      </c>
      <c r="T38" s="18">
        <f t="shared" ref="T38" si="11">G38+I38+K38+M38+O38</f>
        <v>1656.84446</v>
      </c>
    </row>
    <row r="39" spans="1:21" x14ac:dyDescent="0.25">
      <c r="B39" s="117" t="s">
        <v>63</v>
      </c>
      <c r="C39" s="136" t="s">
        <v>64</v>
      </c>
      <c r="D39" s="14" t="s">
        <v>15</v>
      </c>
      <c r="E39" s="14" t="s">
        <v>16</v>
      </c>
      <c r="F39" s="15">
        <v>45068</v>
      </c>
      <c r="G39" s="16">
        <f>0.22/1.0822</f>
        <v>0.20328959526889667</v>
      </c>
      <c r="H39" s="15">
        <v>45243</v>
      </c>
      <c r="I39" s="16">
        <f>0.22/1.0683</f>
        <v>0.20593466254797341</v>
      </c>
      <c r="J39" s="15"/>
      <c r="K39" s="16"/>
      <c r="L39" s="15"/>
      <c r="M39" s="63"/>
      <c r="N39" s="17"/>
      <c r="O39" s="16"/>
      <c r="P39" s="16"/>
      <c r="Q39" s="152">
        <f t="shared" si="0"/>
        <v>0</v>
      </c>
      <c r="R39" s="152">
        <f t="shared" si="1"/>
        <v>0.20328959526889667</v>
      </c>
      <c r="S39" s="152">
        <f t="shared" si="2"/>
        <v>0.20328959526889667</v>
      </c>
      <c r="T39" s="18">
        <f t="shared" si="3"/>
        <v>0.40922425781687011</v>
      </c>
    </row>
    <row r="40" spans="1:21" x14ac:dyDescent="0.25">
      <c r="B40" s="117" t="s">
        <v>65</v>
      </c>
      <c r="C40" s="136" t="s">
        <v>66</v>
      </c>
      <c r="D40" s="14" t="s">
        <v>15</v>
      </c>
      <c r="E40" s="14" t="s">
        <v>16</v>
      </c>
      <c r="F40" s="15">
        <v>44963</v>
      </c>
      <c r="G40" s="16">
        <v>1.37</v>
      </c>
      <c r="H40" s="15">
        <v>45044</v>
      </c>
      <c r="I40" s="16">
        <v>1.69</v>
      </c>
      <c r="J40" s="15">
        <v>45139</v>
      </c>
      <c r="K40" s="16">
        <v>1.45</v>
      </c>
      <c r="L40" s="15">
        <v>45231</v>
      </c>
      <c r="M40" s="63">
        <v>1.45</v>
      </c>
      <c r="N40" s="17"/>
      <c r="O40" s="16"/>
      <c r="P40" s="16"/>
      <c r="Q40" s="152">
        <f t="shared" si="0"/>
        <v>1.37</v>
      </c>
      <c r="R40" s="152">
        <f t="shared" si="1"/>
        <v>3.06</v>
      </c>
      <c r="S40" s="152">
        <f t="shared" si="2"/>
        <v>4.51</v>
      </c>
      <c r="T40" s="18">
        <f t="shared" si="3"/>
        <v>5.96</v>
      </c>
    </row>
    <row r="41" spans="1:21" x14ac:dyDescent="0.25">
      <c r="A41" s="33"/>
      <c r="B41" s="117" t="s">
        <v>782</v>
      </c>
      <c r="C41" s="136" t="s">
        <v>783</v>
      </c>
      <c r="D41" s="14" t="s">
        <v>15</v>
      </c>
      <c r="E41" s="14" t="s">
        <v>16</v>
      </c>
      <c r="F41" s="15">
        <v>45079</v>
      </c>
      <c r="G41" s="16">
        <v>1.72</v>
      </c>
      <c r="H41" s="15">
        <v>45175</v>
      </c>
      <c r="I41" s="16">
        <v>1.08</v>
      </c>
      <c r="J41" s="15"/>
      <c r="K41" s="16"/>
      <c r="L41" s="15"/>
      <c r="M41" s="63"/>
      <c r="N41" s="17"/>
      <c r="O41" s="16"/>
      <c r="P41" s="16"/>
      <c r="Q41" s="152">
        <f t="shared" si="0"/>
        <v>0</v>
      </c>
      <c r="R41" s="152">
        <f t="shared" si="1"/>
        <v>1.72</v>
      </c>
      <c r="S41" s="152">
        <f t="shared" si="2"/>
        <v>2.8</v>
      </c>
      <c r="T41" s="18">
        <f t="shared" si="3"/>
        <v>2.8</v>
      </c>
      <c r="U41" s="36"/>
    </row>
    <row r="42" spans="1:21" x14ac:dyDescent="0.25">
      <c r="B42" s="117" t="s">
        <v>830</v>
      </c>
      <c r="C42" s="136" t="s">
        <v>831</v>
      </c>
      <c r="D42" s="14" t="s">
        <v>15</v>
      </c>
      <c r="E42" s="14" t="s">
        <v>200</v>
      </c>
      <c r="F42" s="15">
        <v>45043</v>
      </c>
      <c r="G42" s="16">
        <v>2.4</v>
      </c>
      <c r="H42" s="15">
        <v>45240</v>
      </c>
      <c r="I42" s="16">
        <v>2.4</v>
      </c>
      <c r="J42" s="15"/>
      <c r="K42" s="16"/>
      <c r="L42" s="15"/>
      <c r="M42" s="63"/>
      <c r="N42" s="17"/>
      <c r="O42" s="16"/>
      <c r="P42" s="16"/>
      <c r="Q42" s="152">
        <f t="shared" si="0"/>
        <v>0</v>
      </c>
      <c r="R42" s="152">
        <f t="shared" si="1"/>
        <v>2.4</v>
      </c>
      <c r="S42" s="152">
        <f t="shared" si="2"/>
        <v>2.4</v>
      </c>
      <c r="T42" s="18">
        <f t="shared" si="3"/>
        <v>4.8</v>
      </c>
    </row>
    <row r="43" spans="1:21" x14ac:dyDescent="0.25">
      <c r="B43" s="117" t="s">
        <v>69</v>
      </c>
      <c r="C43" s="136" t="s">
        <v>70</v>
      </c>
      <c r="D43" s="14" t="s">
        <v>15</v>
      </c>
      <c r="E43" s="14" t="s">
        <v>56</v>
      </c>
      <c r="F43" s="15">
        <v>44980</v>
      </c>
      <c r="G43" s="16">
        <v>1.97</v>
      </c>
      <c r="H43" s="15">
        <v>45148</v>
      </c>
      <c r="I43" s="16">
        <v>0.93</v>
      </c>
      <c r="J43" s="15"/>
      <c r="K43" s="16"/>
      <c r="L43" s="15"/>
      <c r="M43" s="63"/>
      <c r="N43" s="17"/>
      <c r="O43" s="16"/>
      <c r="P43" s="16"/>
      <c r="Q43" s="152">
        <f t="shared" si="0"/>
        <v>1.97</v>
      </c>
      <c r="R43" s="152">
        <f t="shared" si="1"/>
        <v>1.97</v>
      </c>
      <c r="S43" s="152">
        <f t="shared" si="2"/>
        <v>2.9</v>
      </c>
      <c r="T43" s="18">
        <f t="shared" si="3"/>
        <v>2.9</v>
      </c>
    </row>
    <row r="44" spans="1:21" x14ac:dyDescent="0.25">
      <c r="A44" s="33"/>
      <c r="B44" s="117" t="s">
        <v>826</v>
      </c>
      <c r="C44" s="136" t="s">
        <v>827</v>
      </c>
      <c r="D44" s="14" t="s">
        <v>15</v>
      </c>
      <c r="E44" s="14" t="s">
        <v>200</v>
      </c>
      <c r="F44" s="15">
        <v>45044</v>
      </c>
      <c r="G44" s="16">
        <v>1.1499999999999999</v>
      </c>
      <c r="H44" s="15">
        <v>45218</v>
      </c>
      <c r="I44" s="16">
        <v>1.1499999999999999</v>
      </c>
      <c r="J44" s="15"/>
      <c r="K44" s="16"/>
      <c r="L44" s="15"/>
      <c r="M44" s="63"/>
      <c r="N44" s="17"/>
      <c r="O44" s="16"/>
      <c r="P44" s="16"/>
      <c r="Q44" s="152">
        <f t="shared" si="0"/>
        <v>0</v>
      </c>
      <c r="R44" s="152">
        <f t="shared" si="1"/>
        <v>1.1499999999999999</v>
      </c>
      <c r="S44" s="152">
        <f t="shared" si="2"/>
        <v>1.1499999999999999</v>
      </c>
      <c r="T44" s="18">
        <f t="shared" si="3"/>
        <v>2.2999999999999998</v>
      </c>
      <c r="U44" s="36"/>
    </row>
    <row r="45" spans="1:21" x14ac:dyDescent="0.25">
      <c r="A45" s="33"/>
      <c r="B45" s="117" t="s">
        <v>694</v>
      </c>
      <c r="C45" s="136" t="s">
        <v>695</v>
      </c>
      <c r="D45" s="14" t="s">
        <v>24</v>
      </c>
      <c r="E45" s="14" t="s">
        <v>16</v>
      </c>
      <c r="F45" s="15"/>
      <c r="G45" s="16"/>
      <c r="H45" s="15"/>
      <c r="I45" s="16"/>
      <c r="J45" s="15"/>
      <c r="K45" s="16"/>
      <c r="L45" s="15"/>
      <c r="M45" s="63"/>
      <c r="N45" s="17"/>
      <c r="O45" s="16"/>
      <c r="P45" s="16"/>
      <c r="Q45" s="152">
        <f t="shared" si="0"/>
        <v>0</v>
      </c>
      <c r="R45" s="152">
        <f t="shared" si="1"/>
        <v>0</v>
      </c>
      <c r="S45" s="152">
        <f t="shared" si="2"/>
        <v>0</v>
      </c>
      <c r="T45" s="18">
        <f t="shared" si="3"/>
        <v>0</v>
      </c>
      <c r="U45" s="36"/>
    </row>
    <row r="46" spans="1:21" x14ac:dyDescent="0.25">
      <c r="A46" s="33"/>
      <c r="B46" s="117" t="s">
        <v>898</v>
      </c>
      <c r="C46" s="136" t="s">
        <v>899</v>
      </c>
      <c r="D46" s="14" t="s">
        <v>15</v>
      </c>
      <c r="E46" s="14" t="s">
        <v>16</v>
      </c>
      <c r="F46" s="15">
        <v>44974</v>
      </c>
      <c r="G46" s="16">
        <v>1.8</v>
      </c>
      <c r="H46" s="15"/>
      <c r="I46" s="16"/>
      <c r="J46" s="15"/>
      <c r="K46" s="16"/>
      <c r="L46" s="15"/>
      <c r="M46" s="63"/>
      <c r="N46" s="17"/>
      <c r="O46" s="16"/>
      <c r="P46" s="16"/>
      <c r="Q46" s="152">
        <f t="shared" si="0"/>
        <v>1.8</v>
      </c>
      <c r="R46" s="152">
        <f t="shared" si="1"/>
        <v>1.8</v>
      </c>
      <c r="S46" s="152">
        <f t="shared" si="2"/>
        <v>1.8</v>
      </c>
      <c r="T46" s="18">
        <f t="shared" si="3"/>
        <v>1.8</v>
      </c>
      <c r="U46" s="36"/>
    </row>
    <row r="47" spans="1:21" x14ac:dyDescent="0.25">
      <c r="A47" s="33"/>
      <c r="B47" s="117" t="s">
        <v>844</v>
      </c>
      <c r="C47" s="136" t="s">
        <v>845</v>
      </c>
      <c r="D47" s="14" t="s">
        <v>15</v>
      </c>
      <c r="E47" s="14" t="s">
        <v>56</v>
      </c>
      <c r="F47" s="15">
        <v>44992</v>
      </c>
      <c r="G47" s="16">
        <v>0.66</v>
      </c>
      <c r="H47" s="15">
        <v>45070</v>
      </c>
      <c r="I47" s="16">
        <v>0.66</v>
      </c>
      <c r="J47" s="15">
        <v>45175</v>
      </c>
      <c r="K47" s="16">
        <v>0.66</v>
      </c>
      <c r="L47" s="15">
        <v>45257</v>
      </c>
      <c r="M47" s="63">
        <v>0.68</v>
      </c>
      <c r="N47" s="17"/>
      <c r="O47" s="16"/>
      <c r="P47" s="16"/>
      <c r="Q47" s="152">
        <f t="shared" si="0"/>
        <v>0.66</v>
      </c>
      <c r="R47" s="152">
        <f t="shared" si="1"/>
        <v>1.32</v>
      </c>
      <c r="S47" s="152">
        <f t="shared" si="2"/>
        <v>1.98</v>
      </c>
      <c r="T47" s="18">
        <f t="shared" si="3"/>
        <v>2.66</v>
      </c>
      <c r="U47" s="36"/>
    </row>
    <row r="48" spans="1:21" x14ac:dyDescent="0.25">
      <c r="A48" s="33"/>
      <c r="B48" s="117" t="s">
        <v>75</v>
      </c>
      <c r="C48" s="136" t="s">
        <v>76</v>
      </c>
      <c r="D48" s="14" t="s">
        <v>15</v>
      </c>
      <c r="E48" s="14" t="s">
        <v>761</v>
      </c>
      <c r="F48" s="15">
        <v>45015</v>
      </c>
      <c r="G48" s="16">
        <v>20.7</v>
      </c>
      <c r="H48" s="15">
        <v>45162</v>
      </c>
      <c r="I48" s="16">
        <v>11.1</v>
      </c>
      <c r="J48" s="15"/>
      <c r="K48" s="16"/>
      <c r="L48" s="15"/>
      <c r="M48" s="63"/>
      <c r="N48" s="17"/>
      <c r="O48" s="16"/>
      <c r="P48" s="16"/>
      <c r="Q48" s="152">
        <f t="shared" si="0"/>
        <v>0</v>
      </c>
      <c r="R48" s="152">
        <f t="shared" si="1"/>
        <v>20.7</v>
      </c>
      <c r="S48" s="152">
        <f t="shared" si="2"/>
        <v>31.799999999999997</v>
      </c>
      <c r="T48" s="18">
        <f t="shared" si="3"/>
        <v>31.799999999999997</v>
      </c>
      <c r="U48" s="36"/>
    </row>
    <row r="49" spans="1:21" x14ac:dyDescent="0.25">
      <c r="A49" s="33"/>
      <c r="B49" s="117" t="s">
        <v>78</v>
      </c>
      <c r="C49" s="136" t="s">
        <v>79</v>
      </c>
      <c r="D49" s="14" t="s">
        <v>24</v>
      </c>
      <c r="E49" s="14" t="s">
        <v>16</v>
      </c>
      <c r="F49" s="15">
        <v>45054</v>
      </c>
      <c r="G49" s="16">
        <v>1.7</v>
      </c>
      <c r="H49" s="15"/>
      <c r="I49" s="16"/>
      <c r="J49" s="15"/>
      <c r="K49" s="16"/>
      <c r="L49" s="15"/>
      <c r="M49" s="63"/>
      <c r="N49" s="17"/>
      <c r="O49" s="16"/>
      <c r="P49" s="16"/>
      <c r="Q49" s="152">
        <f t="shared" si="0"/>
        <v>0</v>
      </c>
      <c r="R49" s="152">
        <f t="shared" si="1"/>
        <v>1.7</v>
      </c>
      <c r="S49" s="152">
        <f t="shared" si="2"/>
        <v>1.7</v>
      </c>
      <c r="T49" s="18">
        <f t="shared" si="3"/>
        <v>1.7</v>
      </c>
      <c r="U49" s="36"/>
    </row>
    <row r="50" spans="1:21" x14ac:dyDescent="0.25">
      <c r="A50" s="33"/>
      <c r="B50" s="117" t="s">
        <v>82</v>
      </c>
      <c r="C50" s="136" t="s">
        <v>83</v>
      </c>
      <c r="D50" s="14" t="s">
        <v>15</v>
      </c>
      <c r="E50" s="14" t="s">
        <v>761</v>
      </c>
      <c r="F50" s="15">
        <v>45036</v>
      </c>
      <c r="G50" s="16">
        <v>16.600000000000001</v>
      </c>
      <c r="H50" s="15">
        <v>45218</v>
      </c>
      <c r="I50" s="16">
        <v>11.5</v>
      </c>
      <c r="J50" s="15"/>
      <c r="K50" s="16"/>
      <c r="L50" s="15"/>
      <c r="M50" s="63"/>
      <c r="N50" s="17"/>
      <c r="O50" s="16"/>
      <c r="P50" s="16"/>
      <c r="Q50" s="152">
        <f t="shared" si="0"/>
        <v>0</v>
      </c>
      <c r="R50" s="152">
        <f t="shared" si="1"/>
        <v>16.600000000000001</v>
      </c>
      <c r="S50" s="152">
        <f t="shared" si="2"/>
        <v>16.600000000000001</v>
      </c>
      <c r="T50" s="18">
        <f t="shared" si="3"/>
        <v>28.1</v>
      </c>
      <c r="U50" s="36"/>
    </row>
    <row r="51" spans="1:21" x14ac:dyDescent="0.25">
      <c r="B51" s="117" t="s">
        <v>900</v>
      </c>
      <c r="C51" s="136" t="s">
        <v>901</v>
      </c>
      <c r="D51" s="14" t="s">
        <v>15</v>
      </c>
      <c r="E51" s="14" t="s">
        <v>21</v>
      </c>
      <c r="F51" s="15">
        <v>45049</v>
      </c>
      <c r="G51" s="16">
        <v>7.4</v>
      </c>
      <c r="H51" s="15"/>
      <c r="I51" s="16"/>
      <c r="J51" s="15"/>
      <c r="K51" s="16"/>
      <c r="L51" s="15"/>
      <c r="M51" s="63"/>
      <c r="N51" s="17"/>
      <c r="O51" s="16"/>
      <c r="P51" s="16"/>
      <c r="Q51" s="152">
        <f t="shared" si="0"/>
        <v>0</v>
      </c>
      <c r="R51" s="152">
        <f t="shared" si="1"/>
        <v>7.4</v>
      </c>
      <c r="S51" s="152">
        <f t="shared" si="2"/>
        <v>7.4</v>
      </c>
      <c r="T51" s="18">
        <f t="shared" si="3"/>
        <v>7.4</v>
      </c>
    </row>
    <row r="52" spans="1:21" x14ac:dyDescent="0.25">
      <c r="B52" s="117" t="s">
        <v>86</v>
      </c>
      <c r="C52" s="136" t="s">
        <v>87</v>
      </c>
      <c r="D52" s="14" t="s">
        <v>15</v>
      </c>
      <c r="E52" s="14" t="s">
        <v>16</v>
      </c>
      <c r="F52" s="15">
        <v>45019</v>
      </c>
      <c r="G52" s="16">
        <v>0.31</v>
      </c>
      <c r="H52" s="15">
        <v>45208</v>
      </c>
      <c r="I52" s="16">
        <v>0.16</v>
      </c>
      <c r="J52" s="15"/>
      <c r="K52" s="16"/>
      <c r="L52" s="15"/>
      <c r="M52" s="63"/>
      <c r="N52" s="17"/>
      <c r="O52" s="16"/>
      <c r="P52" s="16"/>
      <c r="Q52" s="152">
        <f t="shared" si="0"/>
        <v>0</v>
      </c>
      <c r="R52" s="152">
        <f t="shared" si="1"/>
        <v>0.31</v>
      </c>
      <c r="S52" s="152">
        <f t="shared" si="2"/>
        <v>0.31</v>
      </c>
      <c r="T52" s="18">
        <f t="shared" si="3"/>
        <v>0.47</v>
      </c>
    </row>
    <row r="53" spans="1:21" x14ac:dyDescent="0.25">
      <c r="B53" s="117" t="s">
        <v>814</v>
      </c>
      <c r="C53" s="136" t="s">
        <v>815</v>
      </c>
      <c r="D53" s="14" t="s">
        <v>15</v>
      </c>
      <c r="E53" s="14" t="s">
        <v>16</v>
      </c>
      <c r="F53" s="15">
        <v>44923</v>
      </c>
      <c r="G53" s="16">
        <v>0.02</v>
      </c>
      <c r="H53" s="15">
        <v>45014</v>
      </c>
      <c r="I53" s="16">
        <v>0.02</v>
      </c>
      <c r="J53" s="15"/>
      <c r="K53" s="16"/>
      <c r="L53" s="15"/>
      <c r="M53" s="63"/>
      <c r="N53" s="17"/>
      <c r="O53" s="16"/>
      <c r="P53" s="16"/>
      <c r="Q53" s="152">
        <f t="shared" si="0"/>
        <v>0.02</v>
      </c>
      <c r="R53" s="152">
        <f t="shared" si="1"/>
        <v>0.04</v>
      </c>
      <c r="S53" s="152">
        <f t="shared" si="2"/>
        <v>0.04</v>
      </c>
      <c r="T53" s="18">
        <f t="shared" si="3"/>
        <v>0.04</v>
      </c>
    </row>
    <row r="54" spans="1:21" x14ac:dyDescent="0.25">
      <c r="B54" s="117" t="s">
        <v>90</v>
      </c>
      <c r="C54" s="136" t="s">
        <v>91</v>
      </c>
      <c r="D54" s="14" t="s">
        <v>15</v>
      </c>
      <c r="E54" s="14" t="s">
        <v>16</v>
      </c>
      <c r="F54" s="15">
        <v>45043</v>
      </c>
      <c r="G54" s="16">
        <v>5.9499999999999997E-2</v>
      </c>
      <c r="H54" s="15">
        <v>45230</v>
      </c>
      <c r="I54" s="16">
        <v>8.1000000000000003E-2</v>
      </c>
      <c r="J54" s="15"/>
      <c r="K54" s="16"/>
      <c r="L54" s="15"/>
      <c r="M54" s="63"/>
      <c r="N54" s="17"/>
      <c r="O54" s="16"/>
      <c r="P54" s="16"/>
      <c r="Q54" s="152">
        <f t="shared" si="0"/>
        <v>0</v>
      </c>
      <c r="R54" s="152">
        <f t="shared" si="1"/>
        <v>5.9499999999999997E-2</v>
      </c>
      <c r="S54" s="152">
        <f t="shared" si="2"/>
        <v>5.9499999999999997E-2</v>
      </c>
      <c r="T54" s="18">
        <f t="shared" si="3"/>
        <v>0.14050000000000001</v>
      </c>
    </row>
    <row r="55" spans="1:21" x14ac:dyDescent="0.25">
      <c r="B55" s="117" t="s">
        <v>812</v>
      </c>
      <c r="C55" s="136" t="s">
        <v>813</v>
      </c>
      <c r="D55" s="14" t="s">
        <v>15</v>
      </c>
      <c r="E55" s="14" t="s">
        <v>16</v>
      </c>
      <c r="F55" s="15">
        <v>45057</v>
      </c>
      <c r="G55" s="16">
        <v>0.21</v>
      </c>
      <c r="H55" s="15"/>
      <c r="I55" s="16"/>
      <c r="J55" s="15"/>
      <c r="K55" s="16"/>
      <c r="L55" s="15"/>
      <c r="M55" s="63"/>
      <c r="N55" s="17"/>
      <c r="O55" s="16"/>
      <c r="P55" s="16"/>
      <c r="Q55" s="152">
        <f t="shared" si="0"/>
        <v>0</v>
      </c>
      <c r="R55" s="152">
        <f t="shared" si="1"/>
        <v>0.21</v>
      </c>
      <c r="S55" s="152">
        <f t="shared" si="2"/>
        <v>0.21</v>
      </c>
      <c r="T55" s="18">
        <f t="shared" si="3"/>
        <v>0.21</v>
      </c>
    </row>
    <row r="56" spans="1:21" x14ac:dyDescent="0.25">
      <c r="B56" s="117" t="s">
        <v>94</v>
      </c>
      <c r="C56" s="136" t="s">
        <v>95</v>
      </c>
      <c r="D56" s="14" t="s">
        <v>15</v>
      </c>
      <c r="E56" s="14" t="s">
        <v>16</v>
      </c>
      <c r="F56" s="15">
        <v>44918</v>
      </c>
      <c r="G56" s="16">
        <v>8.3715999999999999E-2</v>
      </c>
      <c r="H56" s="15">
        <v>45013</v>
      </c>
      <c r="I56" s="16">
        <v>8.9315000000000005E-2</v>
      </c>
      <c r="J56" s="15">
        <v>45103</v>
      </c>
      <c r="K56" s="16">
        <v>9.1990000000000002E-2</v>
      </c>
      <c r="L56" s="15">
        <v>45194</v>
      </c>
      <c r="M56" s="63">
        <v>0.128083</v>
      </c>
      <c r="N56" s="17"/>
      <c r="O56" s="16"/>
      <c r="P56" s="16"/>
      <c r="Q56" s="152">
        <f t="shared" si="0"/>
        <v>8.3715999999999999E-2</v>
      </c>
      <c r="R56" s="152">
        <f t="shared" si="1"/>
        <v>0.17303099999999999</v>
      </c>
      <c r="S56" s="152">
        <f t="shared" si="2"/>
        <v>0.26502100000000001</v>
      </c>
      <c r="T56" s="18">
        <f t="shared" si="3"/>
        <v>0.39310400000000001</v>
      </c>
    </row>
    <row r="57" spans="1:21" x14ac:dyDescent="0.25">
      <c r="B57" s="117" t="s">
        <v>96</v>
      </c>
      <c r="C57" s="136" t="s">
        <v>97</v>
      </c>
      <c r="D57" s="14" t="s">
        <v>15</v>
      </c>
      <c r="E57" s="14" t="s">
        <v>761</v>
      </c>
      <c r="F57" s="15">
        <v>44980</v>
      </c>
      <c r="G57" s="16">
        <v>5</v>
      </c>
      <c r="H57" s="15">
        <v>45148</v>
      </c>
      <c r="I57" s="16">
        <v>2.7</v>
      </c>
      <c r="J57" s="15"/>
      <c r="K57" s="16"/>
      <c r="L57" s="15"/>
      <c r="M57" s="63"/>
      <c r="N57" s="17"/>
      <c r="O57" s="16"/>
      <c r="P57" s="16"/>
      <c r="Q57" s="152">
        <f t="shared" si="0"/>
        <v>5</v>
      </c>
      <c r="R57" s="152">
        <f t="shared" si="1"/>
        <v>5</v>
      </c>
      <c r="S57" s="152">
        <f t="shared" si="2"/>
        <v>7.7</v>
      </c>
      <c r="T57" s="18">
        <f t="shared" si="3"/>
        <v>7.7</v>
      </c>
    </row>
    <row r="58" spans="1:21" x14ac:dyDescent="0.25">
      <c r="B58" s="117" t="s">
        <v>98</v>
      </c>
      <c r="C58" s="136" t="s">
        <v>99</v>
      </c>
      <c r="D58" s="14" t="s">
        <v>15</v>
      </c>
      <c r="E58" s="14" t="s">
        <v>16</v>
      </c>
      <c r="F58" s="15">
        <v>45044</v>
      </c>
      <c r="G58" s="16">
        <v>3.4</v>
      </c>
      <c r="H58" s="15"/>
      <c r="I58" s="16"/>
      <c r="J58" s="15"/>
      <c r="K58" s="16"/>
      <c r="L58" s="15"/>
      <c r="M58" s="63"/>
      <c r="N58" s="17"/>
      <c r="O58" s="16"/>
      <c r="P58" s="16"/>
      <c r="Q58" s="152">
        <f t="shared" si="0"/>
        <v>0</v>
      </c>
      <c r="R58" s="152">
        <f t="shared" si="1"/>
        <v>3.4</v>
      </c>
      <c r="S58" s="152">
        <f t="shared" si="2"/>
        <v>3.4</v>
      </c>
      <c r="T58" s="18">
        <f t="shared" si="3"/>
        <v>3.4</v>
      </c>
    </row>
    <row r="59" spans="1:21" x14ac:dyDescent="0.25">
      <c r="B59" s="117" t="s">
        <v>804</v>
      </c>
      <c r="C59" s="136" t="s">
        <v>805</v>
      </c>
      <c r="D59" s="14" t="s">
        <v>15</v>
      </c>
      <c r="E59" s="14" t="s">
        <v>16</v>
      </c>
      <c r="F59" s="15">
        <v>45020</v>
      </c>
      <c r="G59" s="16">
        <v>3.7</v>
      </c>
      <c r="H59" s="15"/>
      <c r="I59" s="16"/>
      <c r="J59" s="15"/>
      <c r="K59" s="16"/>
      <c r="L59" s="15"/>
      <c r="M59" s="63"/>
      <c r="N59" s="17"/>
      <c r="O59" s="16"/>
      <c r="P59" s="16"/>
      <c r="Q59" s="152">
        <f t="shared" si="0"/>
        <v>0</v>
      </c>
      <c r="R59" s="152">
        <f t="shared" si="1"/>
        <v>3.7</v>
      </c>
      <c r="S59" s="152">
        <f t="shared" si="2"/>
        <v>3.7</v>
      </c>
      <c r="T59" s="18">
        <f t="shared" si="3"/>
        <v>3.7</v>
      </c>
    </row>
    <row r="60" spans="1:21" x14ac:dyDescent="0.25">
      <c r="B60" s="117" t="s">
        <v>100</v>
      </c>
      <c r="C60" s="136" t="s">
        <v>101</v>
      </c>
      <c r="D60" s="14" t="s">
        <v>15</v>
      </c>
      <c r="E60" s="14" t="s">
        <v>16</v>
      </c>
      <c r="F60" s="15">
        <v>45048</v>
      </c>
      <c r="G60" s="16">
        <v>2.4</v>
      </c>
      <c r="H60" s="15"/>
      <c r="I60" s="16"/>
      <c r="J60" s="15"/>
      <c r="K60" s="16"/>
      <c r="L60" s="15"/>
      <c r="M60" s="63"/>
      <c r="N60" s="17"/>
      <c r="O60" s="16"/>
      <c r="P60" s="16"/>
      <c r="Q60" s="152">
        <f t="shared" si="0"/>
        <v>0</v>
      </c>
      <c r="R60" s="152">
        <f t="shared" si="1"/>
        <v>2.4</v>
      </c>
      <c r="S60" s="152">
        <f t="shared" si="2"/>
        <v>2.4</v>
      </c>
      <c r="T60" s="18">
        <f t="shared" si="3"/>
        <v>2.4</v>
      </c>
    </row>
    <row r="61" spans="1:21" x14ac:dyDescent="0.25">
      <c r="B61" s="117" t="s">
        <v>777</v>
      </c>
      <c r="C61" s="136" t="s">
        <v>778</v>
      </c>
      <c r="D61" s="14" t="s">
        <v>15</v>
      </c>
      <c r="E61" s="14" t="s">
        <v>16</v>
      </c>
      <c r="F61" s="15">
        <v>45044</v>
      </c>
      <c r="G61" s="16">
        <v>2.85</v>
      </c>
      <c r="H61" s="15"/>
      <c r="I61" s="16"/>
      <c r="J61" s="15"/>
      <c r="K61" s="16"/>
      <c r="L61" s="15"/>
      <c r="M61" s="63"/>
      <c r="N61" s="17"/>
      <c r="O61" s="16"/>
      <c r="P61" s="16"/>
      <c r="Q61" s="152">
        <f t="shared" si="0"/>
        <v>0</v>
      </c>
      <c r="R61" s="152">
        <f t="shared" si="1"/>
        <v>2.85</v>
      </c>
      <c r="S61" s="152">
        <f t="shared" si="2"/>
        <v>2.85</v>
      </c>
      <c r="T61" s="18">
        <f t="shared" si="3"/>
        <v>2.85</v>
      </c>
    </row>
    <row r="62" spans="1:21" x14ac:dyDescent="0.25">
      <c r="B62" s="117" t="s">
        <v>865</v>
      </c>
      <c r="C62" s="136" t="s">
        <v>866</v>
      </c>
      <c r="D62" s="14" t="s">
        <v>15</v>
      </c>
      <c r="E62" s="14" t="s">
        <v>16</v>
      </c>
      <c r="F62" s="15">
        <v>45030</v>
      </c>
      <c r="G62" s="16">
        <v>0.7</v>
      </c>
      <c r="H62" s="15"/>
      <c r="I62" s="16"/>
      <c r="J62" s="15"/>
      <c r="K62" s="16"/>
      <c r="L62" s="15"/>
      <c r="M62" s="63"/>
      <c r="N62" s="17"/>
      <c r="O62" s="16"/>
      <c r="P62" s="16"/>
      <c r="Q62" s="152">
        <f t="shared" si="0"/>
        <v>0</v>
      </c>
      <c r="R62" s="152">
        <f t="shared" si="1"/>
        <v>0.7</v>
      </c>
      <c r="S62" s="152">
        <f t="shared" si="2"/>
        <v>0.7</v>
      </c>
      <c r="T62" s="18">
        <f t="shared" si="3"/>
        <v>0.7</v>
      </c>
    </row>
    <row r="63" spans="1:21" x14ac:dyDescent="0.25">
      <c r="B63" s="117" t="s">
        <v>104</v>
      </c>
      <c r="C63" s="136" t="s">
        <v>105</v>
      </c>
      <c r="D63" s="14" t="s">
        <v>27</v>
      </c>
      <c r="E63" s="14" t="s">
        <v>16</v>
      </c>
      <c r="F63" s="15">
        <v>45057</v>
      </c>
      <c r="G63" s="16">
        <v>1.65</v>
      </c>
      <c r="H63" s="15"/>
      <c r="I63" s="16"/>
      <c r="J63" s="15"/>
      <c r="K63" s="16"/>
      <c r="L63" s="15"/>
      <c r="M63" s="63"/>
      <c r="N63" s="17"/>
      <c r="O63" s="16"/>
      <c r="P63" s="16"/>
      <c r="Q63" s="152">
        <f t="shared" si="0"/>
        <v>0</v>
      </c>
      <c r="R63" s="152">
        <f t="shared" si="1"/>
        <v>1.65</v>
      </c>
      <c r="S63" s="152">
        <f t="shared" si="2"/>
        <v>1.65</v>
      </c>
      <c r="T63" s="18">
        <f t="shared" si="3"/>
        <v>1.65</v>
      </c>
    </row>
    <row r="64" spans="1:21" x14ac:dyDescent="0.25">
      <c r="B64" s="117" t="s">
        <v>108</v>
      </c>
      <c r="C64" s="136" t="s">
        <v>109</v>
      </c>
      <c r="D64" s="14" t="s">
        <v>15</v>
      </c>
      <c r="E64" s="14" t="s">
        <v>16</v>
      </c>
      <c r="F64" s="15">
        <v>45058</v>
      </c>
      <c r="G64" s="16">
        <v>8.5</v>
      </c>
      <c r="H64" s="15"/>
      <c r="I64" s="16"/>
      <c r="J64" s="15"/>
      <c r="K64" s="16"/>
      <c r="L64" s="15"/>
      <c r="M64" s="63"/>
      <c r="N64" s="17"/>
      <c r="O64" s="16"/>
      <c r="P64" s="16"/>
      <c r="Q64" s="152">
        <f t="shared" si="0"/>
        <v>0</v>
      </c>
      <c r="R64" s="152">
        <f t="shared" si="1"/>
        <v>8.5</v>
      </c>
      <c r="S64" s="152">
        <f t="shared" si="2"/>
        <v>8.5</v>
      </c>
      <c r="T64" s="18">
        <f t="shared" si="3"/>
        <v>8.5</v>
      </c>
    </row>
    <row r="65" spans="2:20" x14ac:dyDescent="0.25">
      <c r="B65" s="117" t="s">
        <v>110</v>
      </c>
      <c r="C65" s="136" t="s">
        <v>111</v>
      </c>
      <c r="D65" s="14" t="s">
        <v>24</v>
      </c>
      <c r="E65" s="14" t="s">
        <v>16</v>
      </c>
      <c r="F65" s="15">
        <v>45068</v>
      </c>
      <c r="G65" s="16">
        <v>3.9</v>
      </c>
      <c r="H65" s="15"/>
      <c r="I65" s="16"/>
      <c r="J65" s="15"/>
      <c r="K65" s="16"/>
      <c r="L65" s="15"/>
      <c r="M65" s="63"/>
      <c r="N65" s="17"/>
      <c r="O65" s="16"/>
      <c r="P65" s="16"/>
      <c r="Q65" s="152">
        <f t="shared" si="0"/>
        <v>0</v>
      </c>
      <c r="R65" s="152">
        <f t="shared" si="1"/>
        <v>3.9</v>
      </c>
      <c r="S65" s="152">
        <f t="shared" si="2"/>
        <v>3.9</v>
      </c>
      <c r="T65" s="18">
        <f t="shared" si="3"/>
        <v>3.9</v>
      </c>
    </row>
    <row r="66" spans="2:20" x14ac:dyDescent="0.25">
      <c r="B66" s="117" t="s">
        <v>832</v>
      </c>
      <c r="C66" s="136" t="s">
        <v>833</v>
      </c>
      <c r="D66" s="14" t="s">
        <v>15</v>
      </c>
      <c r="E66" s="14" t="s">
        <v>200</v>
      </c>
      <c r="F66" s="153">
        <v>45042</v>
      </c>
      <c r="G66" s="154">
        <f>15*0.96898598</f>
        <v>14.534789700000001</v>
      </c>
      <c r="H66" s="15"/>
      <c r="I66" s="16"/>
      <c r="J66" s="15"/>
      <c r="K66" s="16"/>
      <c r="L66" s="15"/>
      <c r="M66" s="63"/>
      <c r="N66" s="17"/>
      <c r="O66" s="16"/>
      <c r="P66" s="16"/>
      <c r="Q66" s="152">
        <f t="shared" si="0"/>
        <v>0</v>
      </c>
      <c r="R66" s="152">
        <f t="shared" si="1"/>
        <v>14.534789700000001</v>
      </c>
      <c r="S66" s="152">
        <f t="shared" si="2"/>
        <v>14.534789700000001</v>
      </c>
      <c r="T66" s="18">
        <f t="shared" si="3"/>
        <v>14.534789700000001</v>
      </c>
    </row>
    <row r="67" spans="2:20" x14ac:dyDescent="0.25">
      <c r="B67" s="117" t="s">
        <v>114</v>
      </c>
      <c r="C67" s="136" t="s">
        <v>115</v>
      </c>
      <c r="D67" s="14" t="s">
        <v>24</v>
      </c>
      <c r="E67" s="14" t="s">
        <v>16</v>
      </c>
      <c r="F67" s="15">
        <v>45111</v>
      </c>
      <c r="G67" s="16">
        <v>0.04</v>
      </c>
      <c r="H67" s="15">
        <v>45174</v>
      </c>
      <c r="I67" s="16">
        <v>0.02</v>
      </c>
      <c r="J67" s="15"/>
      <c r="K67" s="16"/>
      <c r="L67" s="15"/>
      <c r="M67" s="63"/>
      <c r="N67" s="17"/>
      <c r="O67" s="16"/>
      <c r="P67" s="16"/>
      <c r="Q67" s="152">
        <f t="shared" si="0"/>
        <v>0</v>
      </c>
      <c r="R67" s="152">
        <f t="shared" si="1"/>
        <v>0</v>
      </c>
      <c r="S67" s="152">
        <f t="shared" si="2"/>
        <v>0.06</v>
      </c>
      <c r="T67" s="18">
        <f t="shared" si="3"/>
        <v>0.06</v>
      </c>
    </row>
    <row r="68" spans="2:20" x14ac:dyDescent="0.25">
      <c r="B68" s="117" t="s">
        <v>120</v>
      </c>
      <c r="C68" s="136" t="s">
        <v>121</v>
      </c>
      <c r="D68" s="14" t="s">
        <v>24</v>
      </c>
      <c r="E68" s="14" t="s">
        <v>16</v>
      </c>
      <c r="F68" s="15">
        <v>45049</v>
      </c>
      <c r="G68" s="16">
        <v>1.8</v>
      </c>
      <c r="H68" s="15"/>
      <c r="I68" s="16"/>
      <c r="J68" s="15"/>
      <c r="K68" s="16"/>
      <c r="L68" s="15"/>
      <c r="M68" s="63"/>
      <c r="N68" s="17"/>
      <c r="O68" s="16"/>
      <c r="P68" s="16"/>
      <c r="Q68" s="152">
        <f t="shared" si="0"/>
        <v>0</v>
      </c>
      <c r="R68" s="152">
        <f t="shared" si="1"/>
        <v>1.8</v>
      </c>
      <c r="S68" s="152">
        <f t="shared" si="2"/>
        <v>1.8</v>
      </c>
      <c r="T68" s="18">
        <f t="shared" si="3"/>
        <v>1.8</v>
      </c>
    </row>
    <row r="69" spans="2:20" x14ac:dyDescent="0.25">
      <c r="B69" s="117" t="s">
        <v>122</v>
      </c>
      <c r="C69" s="136" t="s">
        <v>123</v>
      </c>
      <c r="D69" s="14" t="s">
        <v>15</v>
      </c>
      <c r="E69" s="14" t="s">
        <v>761</v>
      </c>
      <c r="F69" s="15">
        <v>44973</v>
      </c>
      <c r="G69" s="16">
        <f>0.0661/1.07*0.88825*100</f>
        <v>5.4872266355140189</v>
      </c>
      <c r="H69" s="15">
        <v>45057</v>
      </c>
      <c r="I69" s="16">
        <f>0.0661/1.095*0.86813*100</f>
        <v>5.2404925114155256</v>
      </c>
      <c r="J69" s="15">
        <v>45148</v>
      </c>
      <c r="K69" s="16">
        <f>0.0727/1.0968*0.8618*100</f>
        <v>5.7123322392414311</v>
      </c>
      <c r="L69" s="15">
        <v>45239</v>
      </c>
      <c r="M69" s="63">
        <f>0.0727/1.0671*0.87015*100</f>
        <v>5.9282077593477656</v>
      </c>
      <c r="N69" s="17"/>
      <c r="O69" s="16"/>
      <c r="P69" s="16"/>
      <c r="Q69" s="152">
        <f t="shared" si="0"/>
        <v>5.4872266355140189</v>
      </c>
      <c r="R69" s="152">
        <f t="shared" si="1"/>
        <v>10.727719146929545</v>
      </c>
      <c r="S69" s="152">
        <f t="shared" si="2"/>
        <v>16.440051386170975</v>
      </c>
      <c r="T69" s="18">
        <f t="shared" si="3"/>
        <v>22.368259145518742</v>
      </c>
    </row>
    <row r="70" spans="2:20" x14ac:dyDescent="0.25">
      <c r="B70" s="117" t="s">
        <v>126</v>
      </c>
      <c r="C70" s="136" t="s">
        <v>127</v>
      </c>
      <c r="D70" s="14" t="s">
        <v>27</v>
      </c>
      <c r="E70" s="14" t="s">
        <v>16</v>
      </c>
      <c r="F70" s="15">
        <v>45064</v>
      </c>
      <c r="G70" s="16">
        <v>0.4</v>
      </c>
      <c r="H70" s="15"/>
      <c r="I70" s="16"/>
      <c r="J70" s="15"/>
      <c r="K70" s="16"/>
      <c r="L70" s="15"/>
      <c r="M70" s="63"/>
      <c r="N70" s="17"/>
      <c r="O70" s="16"/>
      <c r="P70" s="16"/>
      <c r="Q70" s="152">
        <f t="shared" si="0"/>
        <v>0</v>
      </c>
      <c r="R70" s="152">
        <f t="shared" si="1"/>
        <v>0.4</v>
      </c>
      <c r="S70" s="152">
        <f t="shared" si="2"/>
        <v>0.4</v>
      </c>
      <c r="T70" s="18">
        <f t="shared" si="3"/>
        <v>0.4</v>
      </c>
    </row>
    <row r="71" spans="2:20" x14ac:dyDescent="0.25">
      <c r="B71" s="117" t="s">
        <v>902</v>
      </c>
      <c r="C71" s="136" t="s">
        <v>903</v>
      </c>
      <c r="D71" s="14" t="s">
        <v>15</v>
      </c>
      <c r="E71" s="14" t="s">
        <v>16</v>
      </c>
      <c r="F71" s="15">
        <v>45093</v>
      </c>
      <c r="G71" s="16">
        <v>2</v>
      </c>
      <c r="H71" s="15"/>
      <c r="I71" s="16"/>
      <c r="J71" s="15"/>
      <c r="K71" s="16"/>
      <c r="L71" s="15"/>
      <c r="M71" s="63"/>
      <c r="N71" s="17"/>
      <c r="O71" s="16"/>
      <c r="P71" s="16"/>
      <c r="Q71" s="152">
        <f t="shared" si="0"/>
        <v>0</v>
      </c>
      <c r="R71" s="152">
        <f t="shared" si="1"/>
        <v>2</v>
      </c>
      <c r="S71" s="152">
        <f t="shared" si="2"/>
        <v>2</v>
      </c>
      <c r="T71" s="18">
        <f t="shared" si="3"/>
        <v>2</v>
      </c>
    </row>
    <row r="72" spans="2:20" x14ac:dyDescent="0.25">
      <c r="B72" s="117" t="s">
        <v>128</v>
      </c>
      <c r="C72" s="136" t="s">
        <v>129</v>
      </c>
      <c r="D72" s="14" t="s">
        <v>15</v>
      </c>
      <c r="E72" s="14" t="s">
        <v>761</v>
      </c>
      <c r="F72" s="15">
        <v>44917</v>
      </c>
      <c r="G72" s="16">
        <v>54.45</v>
      </c>
      <c r="H72" s="15">
        <v>45008</v>
      </c>
      <c r="I72" s="16">
        <v>57.72</v>
      </c>
      <c r="J72" s="15">
        <v>45120</v>
      </c>
      <c r="K72" s="16">
        <v>57.72</v>
      </c>
      <c r="L72" s="15">
        <v>45197</v>
      </c>
      <c r="M72" s="63">
        <v>57.72</v>
      </c>
      <c r="N72" s="17"/>
      <c r="O72" s="16"/>
      <c r="P72" s="16"/>
      <c r="Q72" s="152">
        <f t="shared" si="0"/>
        <v>54.45</v>
      </c>
      <c r="R72" s="152">
        <f t="shared" si="1"/>
        <v>112.17</v>
      </c>
      <c r="S72" s="152">
        <f t="shared" si="2"/>
        <v>169.89</v>
      </c>
      <c r="T72" s="18">
        <f t="shared" si="3"/>
        <v>227.60999999999999</v>
      </c>
    </row>
    <row r="73" spans="2:20" x14ac:dyDescent="0.25">
      <c r="B73" s="117" t="s">
        <v>130</v>
      </c>
      <c r="C73" s="136" t="s">
        <v>131</v>
      </c>
      <c r="D73" s="14" t="s">
        <v>15</v>
      </c>
      <c r="E73" s="14" t="s">
        <v>761</v>
      </c>
      <c r="F73" s="15">
        <v>44924</v>
      </c>
      <c r="G73" s="16">
        <v>2.31</v>
      </c>
      <c r="H73" s="15">
        <v>45141</v>
      </c>
      <c r="I73" s="16">
        <v>5.39</v>
      </c>
      <c r="J73" s="15"/>
      <c r="K73" s="16"/>
      <c r="L73" s="15"/>
      <c r="M73" s="63"/>
      <c r="N73" s="17"/>
      <c r="O73" s="16"/>
      <c r="P73" s="16"/>
      <c r="Q73" s="152">
        <f t="shared" si="0"/>
        <v>2.31</v>
      </c>
      <c r="R73" s="152">
        <f t="shared" si="1"/>
        <v>2.31</v>
      </c>
      <c r="S73" s="152">
        <f t="shared" si="2"/>
        <v>7.6999999999999993</v>
      </c>
      <c r="T73" s="18">
        <f t="shared" si="3"/>
        <v>7.6999999999999993</v>
      </c>
    </row>
    <row r="74" spans="2:20" x14ac:dyDescent="0.25">
      <c r="B74" s="117" t="s">
        <v>132</v>
      </c>
      <c r="C74" s="136" t="s">
        <v>133</v>
      </c>
      <c r="D74" s="14" t="s">
        <v>15</v>
      </c>
      <c r="E74" s="14" t="s">
        <v>16</v>
      </c>
      <c r="F74" s="15">
        <v>45022</v>
      </c>
      <c r="G74" s="16">
        <v>0.2306</v>
      </c>
      <c r="H74" s="15"/>
      <c r="I74" s="16"/>
      <c r="J74" s="15"/>
      <c r="K74" s="16"/>
      <c r="L74" s="15"/>
      <c r="M74" s="63"/>
      <c r="N74" s="17"/>
      <c r="O74" s="16"/>
      <c r="P74" s="16"/>
      <c r="Q74" s="152">
        <f t="shared" ref="Q74:Q132" si="12">IF(F74&lt;=Exp23Q1,G74,0)+IF(H74&lt;=Exp23Q1,I74,0)+IF(J74&lt;=Exp23Q1,K74,0)+IF(L74&lt;=Exp23Q1,M74,0)+IF(N74&lt;=Exp23Q1,O74,0)</f>
        <v>0</v>
      </c>
      <c r="R74" s="152">
        <f t="shared" ref="R74:R132" si="13">IF(F74&lt;=Exp23H1,G74,0)+IF(H74&lt;=Exp23H1,I74,0)+IF(J74&lt;=Exp23H1,K74,0)+IF(L74&lt;=Exp23H1,M74,0)+IF(N74&lt;=Exp23H1,O74,0)</f>
        <v>0.2306</v>
      </c>
      <c r="S74" s="152">
        <f t="shared" ref="S74:S132" si="14">IF(F74&lt;=Exp23Q3,G74,0)+IF(H74&lt;=Exp23Q3,I74,0)+IF(J74&lt;=Exp23Q3,K74,0)+IF(L74&lt;=Exp23Q3,M74,0)+IF(N74&lt;=Exp23Q3,O74,0)</f>
        <v>0.2306</v>
      </c>
      <c r="T74" s="18">
        <f t="shared" si="3"/>
        <v>0.2306</v>
      </c>
    </row>
    <row r="75" spans="2:20" x14ac:dyDescent="0.25">
      <c r="B75" s="117" t="s">
        <v>608</v>
      </c>
      <c r="C75" s="136" t="s">
        <v>134</v>
      </c>
      <c r="D75" s="14" t="s">
        <v>24</v>
      </c>
      <c r="E75" s="14" t="s">
        <v>16</v>
      </c>
      <c r="F75" s="15">
        <v>45076</v>
      </c>
      <c r="G75" s="16">
        <v>3.25</v>
      </c>
      <c r="H75" s="15"/>
      <c r="I75" s="16"/>
      <c r="J75" s="15"/>
      <c r="K75" s="16"/>
      <c r="L75" s="15"/>
      <c r="M75" s="63"/>
      <c r="N75" s="17"/>
      <c r="O75" s="16"/>
      <c r="P75" s="16"/>
      <c r="Q75" s="152">
        <f t="shared" si="12"/>
        <v>0</v>
      </c>
      <c r="R75" s="152">
        <f t="shared" si="13"/>
        <v>3.25</v>
      </c>
      <c r="S75" s="152">
        <f t="shared" si="14"/>
        <v>3.25</v>
      </c>
      <c r="T75" s="18">
        <f t="shared" si="3"/>
        <v>3.25</v>
      </c>
    </row>
    <row r="76" spans="2:20" x14ac:dyDescent="0.25">
      <c r="B76" s="117" t="s">
        <v>135</v>
      </c>
      <c r="C76" s="136" t="s">
        <v>136</v>
      </c>
      <c r="D76" s="14" t="s">
        <v>24</v>
      </c>
      <c r="E76" s="14" t="s">
        <v>16</v>
      </c>
      <c r="F76" s="15">
        <v>45083</v>
      </c>
      <c r="G76" s="16">
        <v>0.56000000000000005</v>
      </c>
      <c r="H76" s="15"/>
      <c r="I76" s="16"/>
      <c r="J76" s="15"/>
      <c r="K76" s="16"/>
      <c r="L76" s="15"/>
      <c r="M76" s="63"/>
      <c r="N76" s="17"/>
      <c r="O76" s="16"/>
      <c r="P76" s="16"/>
      <c r="Q76" s="152">
        <f t="shared" si="12"/>
        <v>0</v>
      </c>
      <c r="R76" s="152">
        <f t="shared" si="13"/>
        <v>0.56000000000000005</v>
      </c>
      <c r="S76" s="152">
        <f t="shared" si="14"/>
        <v>0.56000000000000005</v>
      </c>
      <c r="T76" s="18">
        <f t="shared" si="3"/>
        <v>0.56000000000000005</v>
      </c>
    </row>
    <row r="77" spans="2:20" x14ac:dyDescent="0.25">
      <c r="B77" s="117" t="s">
        <v>137</v>
      </c>
      <c r="C77" s="136" t="s">
        <v>138</v>
      </c>
      <c r="D77" s="14" t="s">
        <v>24</v>
      </c>
      <c r="E77" s="14" t="s">
        <v>16</v>
      </c>
      <c r="F77" s="15"/>
      <c r="G77" s="16"/>
      <c r="H77" s="15"/>
      <c r="I77" s="16"/>
      <c r="J77" s="15"/>
      <c r="K77" s="16"/>
      <c r="L77" s="15"/>
      <c r="M77" s="63"/>
      <c r="N77" s="17"/>
      <c r="O77" s="16"/>
      <c r="P77" s="16"/>
      <c r="Q77" s="152">
        <f t="shared" si="12"/>
        <v>0</v>
      </c>
      <c r="R77" s="152">
        <f t="shared" si="13"/>
        <v>0</v>
      </c>
      <c r="S77" s="152">
        <f t="shared" si="14"/>
        <v>0</v>
      </c>
      <c r="T77" s="18">
        <f t="shared" si="3"/>
        <v>0</v>
      </c>
    </row>
    <row r="78" spans="2:20" x14ac:dyDescent="0.25">
      <c r="B78" s="117" t="s">
        <v>139</v>
      </c>
      <c r="C78" s="136" t="s">
        <v>140</v>
      </c>
      <c r="D78" s="14" t="s">
        <v>15</v>
      </c>
      <c r="E78" s="14" t="s">
        <v>761</v>
      </c>
      <c r="F78" s="15">
        <v>45085</v>
      </c>
      <c r="G78" s="16">
        <v>2</v>
      </c>
      <c r="H78" s="15">
        <v>45204</v>
      </c>
      <c r="I78" s="16">
        <v>1.33</v>
      </c>
      <c r="J78" s="15"/>
      <c r="K78" s="16"/>
      <c r="L78" s="15"/>
      <c r="M78" s="63"/>
      <c r="N78" s="17"/>
      <c r="O78" s="16"/>
      <c r="P78" s="16"/>
      <c r="Q78" s="152">
        <f t="shared" si="12"/>
        <v>0</v>
      </c>
      <c r="R78" s="152">
        <f t="shared" si="13"/>
        <v>2</v>
      </c>
      <c r="S78" s="152">
        <f t="shared" si="14"/>
        <v>2</v>
      </c>
      <c r="T78" s="18">
        <f t="shared" si="3"/>
        <v>3.33</v>
      </c>
    </row>
    <row r="79" spans="2:20" x14ac:dyDescent="0.25">
      <c r="B79" s="117" t="s">
        <v>151</v>
      </c>
      <c r="C79" s="136" t="s">
        <v>152</v>
      </c>
      <c r="D79" s="14" t="s">
        <v>15</v>
      </c>
      <c r="E79" s="14" t="s">
        <v>16</v>
      </c>
      <c r="F79" s="15">
        <v>45071</v>
      </c>
      <c r="G79" s="16">
        <v>0.78</v>
      </c>
      <c r="H79" s="15"/>
      <c r="I79" s="16"/>
      <c r="J79" s="15"/>
      <c r="K79" s="16"/>
      <c r="L79" s="15"/>
      <c r="M79" s="63"/>
      <c r="N79" s="17"/>
      <c r="O79" s="16"/>
      <c r="P79" s="16"/>
      <c r="Q79" s="152">
        <f t="shared" si="12"/>
        <v>0</v>
      </c>
      <c r="R79" s="152">
        <f t="shared" si="13"/>
        <v>0.78</v>
      </c>
      <c r="S79" s="152">
        <f t="shared" si="14"/>
        <v>0.78</v>
      </c>
      <c r="T79" s="18">
        <f t="shared" si="3"/>
        <v>0.78</v>
      </c>
    </row>
    <row r="80" spans="2:20" x14ac:dyDescent="0.25">
      <c r="B80" s="117" t="s">
        <v>806</v>
      </c>
      <c r="C80" s="136" t="s">
        <v>807</v>
      </c>
      <c r="D80" s="14" t="s">
        <v>27</v>
      </c>
      <c r="E80" s="14" t="s">
        <v>16</v>
      </c>
      <c r="F80" s="15">
        <v>45061</v>
      </c>
      <c r="G80" s="16">
        <v>6.2</v>
      </c>
      <c r="H80" s="15"/>
      <c r="I80" s="16"/>
      <c r="J80" s="15"/>
      <c r="K80" s="16"/>
      <c r="L80" s="15"/>
      <c r="M80" s="63"/>
      <c r="N80" s="17"/>
      <c r="O80" s="16"/>
      <c r="P80" s="16"/>
      <c r="Q80" s="152">
        <f t="shared" si="12"/>
        <v>0</v>
      </c>
      <c r="R80" s="152">
        <f t="shared" si="13"/>
        <v>6.2</v>
      </c>
      <c r="S80" s="152">
        <f t="shared" si="14"/>
        <v>6.2</v>
      </c>
      <c r="T80" s="18">
        <f t="shared" si="3"/>
        <v>6.2</v>
      </c>
    </row>
    <row r="81" spans="2:20" x14ac:dyDescent="0.25">
      <c r="B81" s="117" t="s">
        <v>153</v>
      </c>
      <c r="C81" s="136" t="s">
        <v>154</v>
      </c>
      <c r="D81" s="14" t="s">
        <v>27</v>
      </c>
      <c r="E81" s="14" t="s">
        <v>16</v>
      </c>
      <c r="F81" s="15">
        <v>45198</v>
      </c>
      <c r="G81" s="16">
        <v>0.8</v>
      </c>
      <c r="H81" s="15"/>
      <c r="I81" s="16"/>
      <c r="J81" s="15"/>
      <c r="K81" s="16"/>
      <c r="L81" s="15"/>
      <c r="M81" s="63"/>
      <c r="N81" s="17"/>
      <c r="O81" s="16"/>
      <c r="P81" s="16"/>
      <c r="Q81" s="152">
        <f t="shared" si="12"/>
        <v>0</v>
      </c>
      <c r="R81" s="152">
        <f t="shared" si="13"/>
        <v>0</v>
      </c>
      <c r="S81" s="152">
        <f t="shared" si="14"/>
        <v>0</v>
      </c>
      <c r="T81" s="18">
        <f t="shared" si="3"/>
        <v>0.8</v>
      </c>
    </row>
    <row r="82" spans="2:20" x14ac:dyDescent="0.25">
      <c r="B82" s="117" t="s">
        <v>156</v>
      </c>
      <c r="C82" s="136" t="s">
        <v>157</v>
      </c>
      <c r="D82" s="14" t="s">
        <v>15</v>
      </c>
      <c r="E82" s="14" t="s">
        <v>21</v>
      </c>
      <c r="F82" s="153">
        <v>45189</v>
      </c>
      <c r="G82" s="154">
        <f>2.5*0.99131944</f>
        <v>2.4782986</v>
      </c>
      <c r="H82" s="15"/>
      <c r="I82" s="16"/>
      <c r="J82" s="15"/>
      <c r="K82" s="16"/>
      <c r="L82" s="15"/>
      <c r="M82" s="63"/>
      <c r="N82" s="17"/>
      <c r="O82" s="16"/>
      <c r="P82" s="16"/>
      <c r="Q82" s="152">
        <f t="shared" si="12"/>
        <v>0</v>
      </c>
      <c r="R82" s="152">
        <f t="shared" si="13"/>
        <v>0</v>
      </c>
      <c r="S82" s="152">
        <f t="shared" si="14"/>
        <v>0</v>
      </c>
      <c r="T82" s="18">
        <f t="shared" si="3"/>
        <v>2.4782986</v>
      </c>
    </row>
    <row r="83" spans="2:20" x14ac:dyDescent="0.25">
      <c r="B83" s="117" t="s">
        <v>158</v>
      </c>
      <c r="C83" s="136" t="s">
        <v>159</v>
      </c>
      <c r="D83" s="14" t="s">
        <v>15</v>
      </c>
      <c r="E83" s="14" t="s">
        <v>761</v>
      </c>
      <c r="F83" s="15">
        <v>44945</v>
      </c>
      <c r="G83" s="16">
        <v>22.1</v>
      </c>
      <c r="H83" s="15">
        <v>45085</v>
      </c>
      <c r="I83" s="16">
        <v>15</v>
      </c>
      <c r="J83" s="15"/>
      <c r="K83" s="16"/>
      <c r="L83" s="15"/>
      <c r="M83" s="63"/>
      <c r="N83" s="17"/>
      <c r="O83" s="16"/>
      <c r="P83" s="16"/>
      <c r="Q83" s="152">
        <f t="shared" si="12"/>
        <v>22.1</v>
      </c>
      <c r="R83" s="152">
        <f t="shared" si="13"/>
        <v>37.1</v>
      </c>
      <c r="S83" s="152">
        <f t="shared" si="14"/>
        <v>37.1</v>
      </c>
      <c r="T83" s="18">
        <f t="shared" si="3"/>
        <v>37.1</v>
      </c>
    </row>
    <row r="84" spans="2:20" x14ac:dyDescent="0.25">
      <c r="B84" s="117" t="s">
        <v>164</v>
      </c>
      <c r="C84" s="136" t="s">
        <v>165</v>
      </c>
      <c r="D84" s="14" t="s">
        <v>24</v>
      </c>
      <c r="E84" s="14" t="s">
        <v>16</v>
      </c>
      <c r="F84" s="15">
        <v>45076</v>
      </c>
      <c r="G84" s="16">
        <v>1.05</v>
      </c>
      <c r="H84" s="15"/>
      <c r="I84" s="16"/>
      <c r="J84" s="15"/>
      <c r="K84" s="16"/>
      <c r="L84" s="15"/>
      <c r="M84" s="63"/>
      <c r="N84" s="17"/>
      <c r="O84" s="16"/>
      <c r="P84" s="16"/>
      <c r="Q84" s="152">
        <f t="shared" si="12"/>
        <v>0</v>
      </c>
      <c r="R84" s="152">
        <f t="shared" si="13"/>
        <v>1.05</v>
      </c>
      <c r="S84" s="152">
        <f t="shared" si="14"/>
        <v>1.05</v>
      </c>
      <c r="T84" s="18">
        <f t="shared" si="3"/>
        <v>1.05</v>
      </c>
    </row>
    <row r="85" spans="2:20" x14ac:dyDescent="0.25">
      <c r="B85" s="117" t="s">
        <v>823</v>
      </c>
      <c r="C85" s="136" t="s">
        <v>819</v>
      </c>
      <c r="D85" s="14" t="s">
        <v>15</v>
      </c>
      <c r="E85" s="14" t="s">
        <v>16</v>
      </c>
      <c r="F85" s="15">
        <v>45050</v>
      </c>
      <c r="G85" s="16">
        <v>5.2</v>
      </c>
      <c r="H85" s="15"/>
      <c r="I85" s="16"/>
      <c r="J85" s="15"/>
      <c r="K85" s="16"/>
      <c r="L85" s="15"/>
      <c r="M85" s="63"/>
      <c r="N85" s="17"/>
      <c r="O85" s="16"/>
      <c r="P85" s="16"/>
      <c r="Q85" s="152">
        <f t="shared" si="12"/>
        <v>0</v>
      </c>
      <c r="R85" s="152">
        <f t="shared" si="13"/>
        <v>5.2</v>
      </c>
      <c r="S85" s="152">
        <f t="shared" si="14"/>
        <v>5.2</v>
      </c>
      <c r="T85" s="18">
        <f t="shared" ref="T85:T146" si="15">G85+I85+K85+M85+O85</f>
        <v>5.2</v>
      </c>
    </row>
    <row r="86" spans="2:20" x14ac:dyDescent="0.25">
      <c r="B86" s="158" t="s">
        <v>820</v>
      </c>
      <c r="C86" s="159" t="s">
        <v>821</v>
      </c>
      <c r="D86" s="45" t="s">
        <v>15</v>
      </c>
      <c r="E86" s="45" t="s">
        <v>16</v>
      </c>
      <c r="F86" s="15">
        <v>45099</v>
      </c>
      <c r="G86" s="16">
        <v>1.3</v>
      </c>
      <c r="H86" s="15"/>
      <c r="I86" s="16"/>
      <c r="J86" s="15"/>
      <c r="K86" s="16"/>
      <c r="L86" s="15"/>
      <c r="M86" s="63"/>
      <c r="N86" s="17"/>
      <c r="O86" s="16"/>
      <c r="P86" s="47"/>
      <c r="Q86" s="152">
        <f t="shared" si="12"/>
        <v>0</v>
      </c>
      <c r="R86" s="152">
        <f t="shared" si="13"/>
        <v>0</v>
      </c>
      <c r="S86" s="152">
        <f t="shared" si="14"/>
        <v>1.3</v>
      </c>
      <c r="T86" s="18">
        <f t="shared" si="15"/>
        <v>1.3</v>
      </c>
    </row>
    <row r="87" spans="2:20" x14ac:dyDescent="0.25">
      <c r="B87" s="158" t="s">
        <v>172</v>
      </c>
      <c r="C87" s="159" t="s">
        <v>173</v>
      </c>
      <c r="D87" s="45" t="s">
        <v>24</v>
      </c>
      <c r="E87" s="45" t="s">
        <v>16</v>
      </c>
      <c r="F87" s="15">
        <v>45055</v>
      </c>
      <c r="G87" s="16">
        <v>2</v>
      </c>
      <c r="H87" s="15"/>
      <c r="I87" s="16"/>
      <c r="J87" s="15"/>
      <c r="K87" s="16"/>
      <c r="L87" s="15"/>
      <c r="M87" s="63"/>
      <c r="N87" s="17"/>
      <c r="O87" s="16"/>
      <c r="P87" s="47"/>
      <c r="Q87" s="152">
        <f t="shared" si="12"/>
        <v>0</v>
      </c>
      <c r="R87" s="152">
        <f t="shared" si="13"/>
        <v>2</v>
      </c>
      <c r="S87" s="152">
        <f t="shared" si="14"/>
        <v>2</v>
      </c>
      <c r="T87" s="49">
        <f t="shared" si="15"/>
        <v>2</v>
      </c>
    </row>
    <row r="88" spans="2:20" x14ac:dyDescent="0.25">
      <c r="B88" s="158" t="s">
        <v>857</v>
      </c>
      <c r="C88" s="159" t="s">
        <v>858</v>
      </c>
      <c r="D88" s="45" t="s">
        <v>24</v>
      </c>
      <c r="E88" s="45" t="s">
        <v>16</v>
      </c>
      <c r="F88" s="15">
        <v>45075</v>
      </c>
      <c r="G88" s="16">
        <v>0.21</v>
      </c>
      <c r="H88" s="15"/>
      <c r="I88" s="16"/>
      <c r="J88" s="15"/>
      <c r="K88" s="16"/>
      <c r="L88" s="15"/>
      <c r="M88" s="63"/>
      <c r="N88" s="17"/>
      <c r="O88" s="16"/>
      <c r="P88" s="47"/>
      <c r="Q88" s="152">
        <f t="shared" si="12"/>
        <v>0</v>
      </c>
      <c r="R88" s="152">
        <f t="shared" si="13"/>
        <v>0.21</v>
      </c>
      <c r="S88" s="152">
        <f t="shared" si="14"/>
        <v>0.21</v>
      </c>
      <c r="T88" s="49">
        <f t="shared" si="15"/>
        <v>0.21</v>
      </c>
    </row>
    <row r="89" spans="2:20" x14ac:dyDescent="0.25">
      <c r="B89" s="158" t="s">
        <v>894</v>
      </c>
      <c r="C89" s="159" t="s">
        <v>895</v>
      </c>
      <c r="D89" s="45" t="s">
        <v>24</v>
      </c>
      <c r="E89" s="45" t="s">
        <v>16</v>
      </c>
      <c r="F89" s="15">
        <v>44971</v>
      </c>
      <c r="G89" s="16">
        <v>0.32</v>
      </c>
      <c r="H89" s="15"/>
      <c r="I89" s="16"/>
      <c r="J89" s="15"/>
      <c r="K89" s="16"/>
      <c r="L89" s="15"/>
      <c r="M89" s="63"/>
      <c r="N89" s="17"/>
      <c r="O89" s="16"/>
      <c r="P89" s="47"/>
      <c r="Q89" s="152">
        <f t="shared" si="12"/>
        <v>0.32</v>
      </c>
      <c r="R89" s="152">
        <f t="shared" si="13"/>
        <v>0.32</v>
      </c>
      <c r="S89" s="152">
        <f t="shared" si="14"/>
        <v>0.32</v>
      </c>
      <c r="T89" s="49">
        <f t="shared" si="15"/>
        <v>0.32</v>
      </c>
    </row>
    <row r="90" spans="2:20" x14ac:dyDescent="0.25">
      <c r="B90" s="117" t="s">
        <v>174</v>
      </c>
      <c r="C90" s="136" t="s">
        <v>175</v>
      </c>
      <c r="D90" s="14" t="s">
        <v>15</v>
      </c>
      <c r="E90" s="14" t="s">
        <v>16</v>
      </c>
      <c r="F90" s="15">
        <v>45064</v>
      </c>
      <c r="G90" s="16">
        <v>0.3</v>
      </c>
      <c r="H90" s="15"/>
      <c r="I90" s="16"/>
      <c r="J90" s="15"/>
      <c r="K90" s="16"/>
      <c r="L90" s="15"/>
      <c r="M90" s="63"/>
      <c r="N90" s="17"/>
      <c r="O90" s="16"/>
      <c r="P90" s="16"/>
      <c r="Q90" s="152">
        <f t="shared" si="12"/>
        <v>0</v>
      </c>
      <c r="R90" s="152">
        <f t="shared" si="13"/>
        <v>0.3</v>
      </c>
      <c r="S90" s="152">
        <f t="shared" si="14"/>
        <v>0.3</v>
      </c>
      <c r="T90" s="18">
        <f t="shared" si="15"/>
        <v>0.3</v>
      </c>
    </row>
    <row r="91" spans="2:20" x14ac:dyDescent="0.25">
      <c r="B91" s="117" t="s">
        <v>176</v>
      </c>
      <c r="C91" s="136" t="s">
        <v>177</v>
      </c>
      <c r="D91" s="14" t="s">
        <v>15</v>
      </c>
      <c r="E91" s="14" t="s">
        <v>16</v>
      </c>
      <c r="F91" s="15">
        <v>45063</v>
      </c>
      <c r="G91" s="16">
        <v>3.6</v>
      </c>
      <c r="H91" s="15"/>
      <c r="I91" s="16"/>
      <c r="J91" s="15"/>
      <c r="K91" s="16"/>
      <c r="L91" s="15"/>
      <c r="M91" s="63"/>
      <c r="N91" s="17"/>
      <c r="O91" s="16"/>
      <c r="P91" s="16"/>
      <c r="Q91" s="152">
        <f t="shared" si="12"/>
        <v>0</v>
      </c>
      <c r="R91" s="152">
        <f t="shared" si="13"/>
        <v>3.6</v>
      </c>
      <c r="S91" s="152">
        <f t="shared" si="14"/>
        <v>3.6</v>
      </c>
      <c r="T91" s="18">
        <f t="shared" si="15"/>
        <v>3.6</v>
      </c>
    </row>
    <row r="92" spans="2:20" x14ac:dyDescent="0.25">
      <c r="B92" s="117" t="s">
        <v>178</v>
      </c>
      <c r="C92" s="136" t="s">
        <v>179</v>
      </c>
      <c r="D92" s="14" t="s">
        <v>15</v>
      </c>
      <c r="E92" s="14" t="s">
        <v>16</v>
      </c>
      <c r="F92" s="15"/>
      <c r="G92" s="16"/>
      <c r="H92" s="15"/>
      <c r="I92" s="16"/>
      <c r="J92" s="15"/>
      <c r="K92" s="16"/>
      <c r="L92" s="15"/>
      <c r="M92" s="63"/>
      <c r="N92" s="17"/>
      <c r="O92" s="16"/>
      <c r="P92" s="16"/>
      <c r="Q92" s="152">
        <f t="shared" si="12"/>
        <v>0</v>
      </c>
      <c r="R92" s="152">
        <f t="shared" si="13"/>
        <v>0</v>
      </c>
      <c r="S92" s="152">
        <f t="shared" si="14"/>
        <v>0</v>
      </c>
      <c r="T92" s="18">
        <f t="shared" si="15"/>
        <v>0</v>
      </c>
    </row>
    <row r="93" spans="2:20" x14ac:dyDescent="0.25">
      <c r="B93" s="117" t="s">
        <v>182</v>
      </c>
      <c r="C93" s="136" t="s">
        <v>183</v>
      </c>
      <c r="D93" s="14" t="s">
        <v>15</v>
      </c>
      <c r="E93" s="14" t="s">
        <v>16</v>
      </c>
      <c r="F93" s="15">
        <v>45022</v>
      </c>
      <c r="G93" s="16">
        <v>0.7</v>
      </c>
      <c r="H93" s="15"/>
      <c r="I93" s="16"/>
      <c r="J93" s="15"/>
      <c r="K93" s="16"/>
      <c r="L93" s="15"/>
      <c r="M93" s="63"/>
      <c r="N93" s="17"/>
      <c r="O93" s="16"/>
      <c r="P93" s="16"/>
      <c r="Q93" s="152">
        <f t="shared" si="12"/>
        <v>0</v>
      </c>
      <c r="R93" s="152">
        <f t="shared" si="13"/>
        <v>0.7</v>
      </c>
      <c r="S93" s="152">
        <f t="shared" si="14"/>
        <v>0.7</v>
      </c>
      <c r="T93" s="18">
        <f t="shared" si="15"/>
        <v>0.7</v>
      </c>
    </row>
    <row r="94" spans="2:20" x14ac:dyDescent="0.25">
      <c r="B94" s="117" t="s">
        <v>938</v>
      </c>
      <c r="C94" s="136" t="s">
        <v>181</v>
      </c>
      <c r="D94" s="14" t="s">
        <v>15</v>
      </c>
      <c r="E94" s="14" t="s">
        <v>16</v>
      </c>
      <c r="F94" s="15">
        <v>45051</v>
      </c>
      <c r="G94" s="16">
        <v>1.85</v>
      </c>
      <c r="H94" s="15"/>
      <c r="I94" s="16"/>
      <c r="J94" s="15"/>
      <c r="K94" s="16"/>
      <c r="L94" s="15"/>
      <c r="M94" s="63"/>
      <c r="N94" s="17"/>
      <c r="O94" s="16"/>
      <c r="P94" s="16"/>
      <c r="Q94" s="152">
        <f>IF(F94&lt;=Exp23Q1,G94,0)+IF(H94&lt;=Exp23Q1,I94,0)+IF(J94&lt;=Exp23Q1,K94,0)+IF(L94&lt;=Exp23Q1,M94,0)+IF(N94&lt;=Exp23Q1,O94,0)</f>
        <v>0</v>
      </c>
      <c r="R94" s="152">
        <f>IF(F94&lt;=Exp23H1,G94,0)+IF(H94&lt;=Exp23H1,I94,0)+IF(J94&lt;=Exp23H1,K94,0)+IF(L94&lt;=Exp23H1,M94,0)+IF(N94&lt;=Exp23H1,O94,0)</f>
        <v>1.85</v>
      </c>
      <c r="S94" s="152">
        <f>IF(F94&lt;=Exp23Q3,G94,0)+IF(H94&lt;=Exp23Q3,I94,0)+IF(J94&lt;=Exp23Q3,K94,0)+IF(L94&lt;=Exp23Q3,M94,0)+IF(N94&lt;=Exp23Q3,O94,0)</f>
        <v>1.85</v>
      </c>
      <c r="T94" s="18">
        <f>G94+I94+K94+M94+O94</f>
        <v>1.85</v>
      </c>
    </row>
    <row r="95" spans="2:20" x14ac:dyDescent="0.25">
      <c r="B95" s="117" t="s">
        <v>184</v>
      </c>
      <c r="C95" s="136" t="s">
        <v>185</v>
      </c>
      <c r="D95" s="14" t="s">
        <v>15</v>
      </c>
      <c r="E95" s="14" t="s">
        <v>761</v>
      </c>
      <c r="F95" s="15">
        <v>44987</v>
      </c>
      <c r="G95" s="16">
        <v>30.83</v>
      </c>
      <c r="H95" s="15">
        <v>45162</v>
      </c>
      <c r="I95" s="16">
        <v>49.17</v>
      </c>
      <c r="J95" s="15"/>
      <c r="K95" s="16"/>
      <c r="L95" s="15"/>
      <c r="M95" s="63"/>
      <c r="N95" s="17"/>
      <c r="O95" s="16"/>
      <c r="P95" s="16"/>
      <c r="Q95" s="152">
        <f t="shared" si="12"/>
        <v>30.83</v>
      </c>
      <c r="R95" s="152">
        <f t="shared" si="13"/>
        <v>30.83</v>
      </c>
      <c r="S95" s="152">
        <f t="shared" si="14"/>
        <v>80</v>
      </c>
      <c r="T95" s="18">
        <f t="shared" si="15"/>
        <v>80</v>
      </c>
    </row>
    <row r="96" spans="2:20" x14ac:dyDescent="0.25">
      <c r="B96" s="117" t="s">
        <v>781</v>
      </c>
      <c r="C96" s="136" t="s">
        <v>187</v>
      </c>
      <c r="D96" s="14" t="s">
        <v>27</v>
      </c>
      <c r="E96" s="14" t="s">
        <v>16</v>
      </c>
      <c r="F96" s="15">
        <v>45083</v>
      </c>
      <c r="G96" s="16">
        <v>3</v>
      </c>
      <c r="H96" s="15"/>
      <c r="I96" s="16"/>
      <c r="J96" s="15"/>
      <c r="K96" s="16"/>
      <c r="L96" s="15"/>
      <c r="M96" s="63"/>
      <c r="N96" s="17"/>
      <c r="O96" s="16"/>
      <c r="P96" s="16"/>
      <c r="Q96" s="152">
        <f t="shared" si="12"/>
        <v>0</v>
      </c>
      <c r="R96" s="152">
        <f t="shared" si="13"/>
        <v>3</v>
      </c>
      <c r="S96" s="152">
        <f t="shared" si="14"/>
        <v>3</v>
      </c>
      <c r="T96" s="18">
        <f t="shared" si="15"/>
        <v>3</v>
      </c>
    </row>
    <row r="97" spans="2:20" x14ac:dyDescent="0.25">
      <c r="B97" s="117" t="s">
        <v>188</v>
      </c>
      <c r="C97" s="136" t="s">
        <v>189</v>
      </c>
      <c r="D97" s="14" t="s">
        <v>15</v>
      </c>
      <c r="E97" s="14" t="s">
        <v>16</v>
      </c>
      <c r="F97" s="15"/>
      <c r="G97" s="16"/>
      <c r="H97" s="15"/>
      <c r="I97" s="16"/>
      <c r="J97" s="15"/>
      <c r="K97" s="16"/>
      <c r="L97" s="15"/>
      <c r="M97" s="63"/>
      <c r="N97" s="17"/>
      <c r="O97" s="16"/>
      <c r="P97" s="16"/>
      <c r="Q97" s="152">
        <f t="shared" si="12"/>
        <v>0</v>
      </c>
      <c r="R97" s="152">
        <f t="shared" si="13"/>
        <v>0</v>
      </c>
      <c r="S97" s="152">
        <f t="shared" si="14"/>
        <v>0</v>
      </c>
      <c r="T97" s="18">
        <f t="shared" si="15"/>
        <v>0</v>
      </c>
    </row>
    <row r="98" spans="2:20" x14ac:dyDescent="0.25">
      <c r="B98" s="117" t="s">
        <v>913</v>
      </c>
      <c r="C98" s="136" t="s">
        <v>914</v>
      </c>
      <c r="D98" s="14" t="s">
        <v>755</v>
      </c>
      <c r="E98" s="14" t="s">
        <v>475</v>
      </c>
      <c r="F98" s="15">
        <v>45042</v>
      </c>
      <c r="G98" s="16">
        <v>12.5</v>
      </c>
      <c r="H98" s="15"/>
      <c r="I98" s="16"/>
      <c r="J98" s="15"/>
      <c r="K98" s="16"/>
      <c r="L98" s="15"/>
      <c r="M98" s="63"/>
      <c r="N98" s="17"/>
      <c r="O98" s="16"/>
      <c r="P98" s="16"/>
      <c r="Q98" s="152">
        <f t="shared" ref="Q98" si="16">IF(F98&lt;=Exp23Q1,G98,0)+IF(H98&lt;=Exp23Q1,I98,0)+IF(J98&lt;=Exp23Q1,K98,0)+IF(L98&lt;=Exp23Q1,M98,0)+IF(N98&lt;=Exp23Q1,O98,0)</f>
        <v>0</v>
      </c>
      <c r="R98" s="152">
        <f t="shared" ref="R98" si="17">IF(F98&lt;=Exp23H1,G98,0)+IF(H98&lt;=Exp23H1,I98,0)+IF(J98&lt;=Exp23H1,K98,0)+IF(L98&lt;=Exp23H1,M98,0)+IF(N98&lt;=Exp23H1,O98,0)</f>
        <v>12.5</v>
      </c>
      <c r="S98" s="152">
        <f t="shared" ref="S98" si="18">IF(F98&lt;=Exp23Q3,G98,0)+IF(H98&lt;=Exp23Q3,I98,0)+IF(J98&lt;=Exp23Q3,K98,0)+IF(L98&lt;=Exp23Q3,M98,0)+IF(N98&lt;=Exp23Q3,O98,0)</f>
        <v>12.5</v>
      </c>
      <c r="T98" s="18">
        <f t="shared" ref="T98" si="19">G98+I98+K98+M98+O98</f>
        <v>12.5</v>
      </c>
    </row>
    <row r="99" spans="2:20" x14ac:dyDescent="0.25">
      <c r="B99" s="117" t="s">
        <v>929</v>
      </c>
      <c r="C99" s="136" t="s">
        <v>191</v>
      </c>
      <c r="D99" s="14" t="s">
        <v>15</v>
      </c>
      <c r="E99" s="14" t="s">
        <v>16</v>
      </c>
      <c r="F99" s="15">
        <v>45110</v>
      </c>
      <c r="G99" s="16">
        <v>1.6</v>
      </c>
      <c r="H99" s="15"/>
      <c r="I99" s="16"/>
      <c r="J99" s="15"/>
      <c r="K99" s="16"/>
      <c r="L99" s="15"/>
      <c r="M99" s="63"/>
      <c r="N99" s="17"/>
      <c r="O99" s="16"/>
      <c r="P99" s="16"/>
      <c r="Q99" s="152">
        <f t="shared" si="12"/>
        <v>0</v>
      </c>
      <c r="R99" s="152">
        <f t="shared" si="13"/>
        <v>0</v>
      </c>
      <c r="S99" s="152">
        <f t="shared" si="14"/>
        <v>1.6</v>
      </c>
      <c r="T99" s="18">
        <f t="shared" si="15"/>
        <v>1.6</v>
      </c>
    </row>
    <row r="100" spans="2:20" x14ac:dyDescent="0.25">
      <c r="B100" s="117" t="s">
        <v>747</v>
      </c>
      <c r="C100" s="136" t="s">
        <v>748</v>
      </c>
      <c r="D100" s="14" t="s">
        <v>237</v>
      </c>
      <c r="E100" s="14" t="s">
        <v>16</v>
      </c>
      <c r="F100" s="15">
        <v>45044</v>
      </c>
      <c r="G100" s="16">
        <v>0.19</v>
      </c>
      <c r="H100" s="15"/>
      <c r="I100" s="16"/>
      <c r="J100" s="15"/>
      <c r="K100" s="16"/>
      <c r="L100" s="15"/>
      <c r="M100" s="63"/>
      <c r="N100" s="17"/>
      <c r="O100" s="16"/>
      <c r="P100" s="16"/>
      <c r="Q100" s="152">
        <f t="shared" si="12"/>
        <v>0</v>
      </c>
      <c r="R100" s="152">
        <f t="shared" si="13"/>
        <v>0.19</v>
      </c>
      <c r="S100" s="152">
        <f t="shared" si="14"/>
        <v>0.19</v>
      </c>
      <c r="T100" s="18">
        <f t="shared" si="15"/>
        <v>0.19</v>
      </c>
    </row>
    <row r="101" spans="2:20" x14ac:dyDescent="0.25">
      <c r="B101" s="117" t="s">
        <v>787</v>
      </c>
      <c r="C101" s="136" t="s">
        <v>788</v>
      </c>
      <c r="D101" s="14" t="s">
        <v>237</v>
      </c>
      <c r="E101" s="14" t="s">
        <v>16</v>
      </c>
      <c r="F101" s="15">
        <v>45055</v>
      </c>
      <c r="G101" s="16">
        <v>0.26500000000000001</v>
      </c>
      <c r="H101" s="15"/>
      <c r="I101" s="16"/>
      <c r="J101" s="15"/>
      <c r="K101" s="16"/>
      <c r="L101" s="15"/>
      <c r="M101" s="63"/>
      <c r="N101" s="17"/>
      <c r="O101" s="16"/>
      <c r="P101" s="16"/>
      <c r="Q101" s="152">
        <f t="shared" si="12"/>
        <v>0</v>
      </c>
      <c r="R101" s="152">
        <f t="shared" si="13"/>
        <v>0.26500000000000001</v>
      </c>
      <c r="S101" s="152">
        <f t="shared" si="14"/>
        <v>0.26500000000000001</v>
      </c>
      <c r="T101" s="18">
        <f t="shared" si="15"/>
        <v>0.26500000000000001</v>
      </c>
    </row>
    <row r="102" spans="2:20" x14ac:dyDescent="0.25">
      <c r="B102" s="117" t="s">
        <v>194</v>
      </c>
      <c r="C102" s="136" t="s">
        <v>195</v>
      </c>
      <c r="D102" s="14" t="s">
        <v>15</v>
      </c>
      <c r="E102" s="14" t="s">
        <v>16</v>
      </c>
      <c r="F102" s="15">
        <v>45064</v>
      </c>
      <c r="G102" s="16">
        <v>0.51</v>
      </c>
      <c r="H102" s="15"/>
      <c r="I102" s="16"/>
      <c r="J102" s="15"/>
      <c r="K102" s="16"/>
      <c r="L102" s="15"/>
      <c r="M102" s="63"/>
      <c r="N102" s="17"/>
      <c r="O102" s="16"/>
      <c r="P102" s="16"/>
      <c r="Q102" s="152">
        <f t="shared" si="12"/>
        <v>0</v>
      </c>
      <c r="R102" s="152">
        <f t="shared" si="13"/>
        <v>0.51</v>
      </c>
      <c r="S102" s="152">
        <f t="shared" si="14"/>
        <v>0.51</v>
      </c>
      <c r="T102" s="18">
        <f t="shared" si="15"/>
        <v>0.51</v>
      </c>
    </row>
    <row r="103" spans="2:20" x14ac:dyDescent="0.25">
      <c r="B103" s="117" t="s">
        <v>198</v>
      </c>
      <c r="C103" s="136" t="s">
        <v>199</v>
      </c>
      <c r="D103" s="14" t="s">
        <v>15</v>
      </c>
      <c r="E103" s="14" t="s">
        <v>200</v>
      </c>
      <c r="F103" s="15"/>
      <c r="G103" s="16"/>
      <c r="H103" s="15"/>
      <c r="I103" s="16"/>
      <c r="J103" s="15"/>
      <c r="K103" s="16"/>
      <c r="L103" s="15"/>
      <c r="M103" s="63"/>
      <c r="N103" s="17"/>
      <c r="O103" s="16"/>
      <c r="P103" s="16"/>
      <c r="Q103" s="152">
        <f t="shared" si="12"/>
        <v>0</v>
      </c>
      <c r="R103" s="152">
        <f t="shared" si="13"/>
        <v>0</v>
      </c>
      <c r="S103" s="152">
        <f t="shared" si="14"/>
        <v>0</v>
      </c>
      <c r="T103" s="18">
        <f t="shared" si="15"/>
        <v>0</v>
      </c>
    </row>
    <row r="104" spans="2:20" x14ac:dyDescent="0.25">
      <c r="B104" s="117" t="s">
        <v>884</v>
      </c>
      <c r="C104" s="136" t="s">
        <v>202</v>
      </c>
      <c r="D104" s="14" t="s">
        <v>27</v>
      </c>
      <c r="E104" s="14" t="s">
        <v>16</v>
      </c>
      <c r="F104" s="15">
        <v>45076</v>
      </c>
      <c r="G104" s="16">
        <v>1.91</v>
      </c>
      <c r="H104" s="15"/>
      <c r="I104" s="16"/>
      <c r="J104" s="15"/>
      <c r="K104" s="16"/>
      <c r="L104" s="15"/>
      <c r="M104" s="63"/>
      <c r="N104" s="17"/>
      <c r="O104" s="16"/>
      <c r="P104" s="16"/>
      <c r="Q104" s="152">
        <f t="shared" si="12"/>
        <v>0</v>
      </c>
      <c r="R104" s="152">
        <f t="shared" si="13"/>
        <v>1.91</v>
      </c>
      <c r="S104" s="152">
        <f t="shared" si="14"/>
        <v>1.91</v>
      </c>
      <c r="T104" s="18">
        <f t="shared" si="15"/>
        <v>1.91</v>
      </c>
    </row>
    <row r="105" spans="2:20" x14ac:dyDescent="0.25">
      <c r="B105" s="117" t="s">
        <v>717</v>
      </c>
      <c r="C105" s="136" t="s">
        <v>718</v>
      </c>
      <c r="D105" s="14" t="s">
        <v>24</v>
      </c>
      <c r="E105" s="14" t="s">
        <v>16</v>
      </c>
      <c r="F105" s="15"/>
      <c r="G105" s="16"/>
      <c r="H105" s="15"/>
      <c r="I105" s="16"/>
      <c r="J105" s="15"/>
      <c r="K105" s="16"/>
      <c r="L105" s="15"/>
      <c r="M105" s="63"/>
      <c r="N105" s="17"/>
      <c r="O105" s="16"/>
      <c r="P105" s="16"/>
      <c r="Q105" s="152">
        <f t="shared" si="12"/>
        <v>0</v>
      </c>
      <c r="R105" s="152">
        <f t="shared" si="13"/>
        <v>0</v>
      </c>
      <c r="S105" s="152">
        <f t="shared" si="14"/>
        <v>0</v>
      </c>
      <c r="T105" s="18">
        <f t="shared" si="15"/>
        <v>0</v>
      </c>
    </row>
    <row r="106" spans="2:20" x14ac:dyDescent="0.25">
      <c r="B106" s="117" t="s">
        <v>203</v>
      </c>
      <c r="C106" s="136" t="s">
        <v>204</v>
      </c>
      <c r="D106" s="14" t="s">
        <v>15</v>
      </c>
      <c r="E106" s="14" t="s">
        <v>16</v>
      </c>
      <c r="F106" s="15">
        <v>45022</v>
      </c>
      <c r="G106" s="16">
        <v>2.15</v>
      </c>
      <c r="H106" s="15"/>
      <c r="I106" s="16"/>
      <c r="J106" s="15"/>
      <c r="K106" s="16"/>
      <c r="L106" s="15"/>
      <c r="M106" s="63"/>
      <c r="N106" s="17"/>
      <c r="O106" s="16"/>
      <c r="P106" s="16"/>
      <c r="Q106" s="152">
        <f t="shared" si="12"/>
        <v>0</v>
      </c>
      <c r="R106" s="152">
        <f t="shared" si="13"/>
        <v>2.15</v>
      </c>
      <c r="S106" s="152">
        <f t="shared" si="14"/>
        <v>2.15</v>
      </c>
      <c r="T106" s="18">
        <f t="shared" si="15"/>
        <v>2.15</v>
      </c>
    </row>
    <row r="107" spans="2:20" x14ac:dyDescent="0.25">
      <c r="B107" s="117" t="s">
        <v>205</v>
      </c>
      <c r="C107" s="136" t="s">
        <v>206</v>
      </c>
      <c r="D107" s="14" t="s">
        <v>15</v>
      </c>
      <c r="E107" s="14" t="s">
        <v>16</v>
      </c>
      <c r="F107" s="15">
        <v>44914</v>
      </c>
      <c r="G107" s="16">
        <v>0.68799999999999994</v>
      </c>
      <c r="H107" s="15">
        <v>45111</v>
      </c>
      <c r="I107" s="16">
        <v>1.032</v>
      </c>
      <c r="J107" s="15"/>
      <c r="K107" s="16"/>
      <c r="L107" s="15"/>
      <c r="M107" s="63"/>
      <c r="N107" s="17"/>
      <c r="O107" s="16"/>
      <c r="P107" s="16"/>
      <c r="Q107" s="152">
        <f t="shared" si="12"/>
        <v>0.68799999999999994</v>
      </c>
      <c r="R107" s="152">
        <f t="shared" si="13"/>
        <v>0.68799999999999994</v>
      </c>
      <c r="S107" s="152">
        <f t="shared" si="14"/>
        <v>1.72</v>
      </c>
      <c r="T107" s="18">
        <f t="shared" si="15"/>
        <v>1.72</v>
      </c>
    </row>
    <row r="108" spans="2:20" x14ac:dyDescent="0.25">
      <c r="B108" s="117" t="s">
        <v>207</v>
      </c>
      <c r="C108" s="136" t="s">
        <v>208</v>
      </c>
      <c r="D108" s="14" t="s">
        <v>15</v>
      </c>
      <c r="E108" s="14" t="s">
        <v>16</v>
      </c>
      <c r="F108" s="15">
        <v>45106</v>
      </c>
      <c r="G108" s="16">
        <v>1.5853999999999999</v>
      </c>
      <c r="H108" s="15"/>
      <c r="I108" s="16"/>
      <c r="J108" s="15"/>
      <c r="K108" s="16"/>
      <c r="L108" s="15"/>
      <c r="M108" s="63"/>
      <c r="N108" s="17"/>
      <c r="O108" s="16"/>
      <c r="P108" s="16"/>
      <c r="Q108" s="152">
        <f t="shared" si="12"/>
        <v>0</v>
      </c>
      <c r="R108" s="152">
        <f t="shared" si="13"/>
        <v>0</v>
      </c>
      <c r="S108" s="152">
        <f t="shared" si="14"/>
        <v>1.5853999999999999</v>
      </c>
      <c r="T108" s="18">
        <f t="shared" si="15"/>
        <v>1.5853999999999999</v>
      </c>
    </row>
    <row r="109" spans="2:20" x14ac:dyDescent="0.25">
      <c r="B109" s="117" t="s">
        <v>211</v>
      </c>
      <c r="C109" s="136" t="s">
        <v>212</v>
      </c>
      <c r="D109" s="14" t="s">
        <v>24</v>
      </c>
      <c r="E109" s="14" t="s">
        <v>16</v>
      </c>
      <c r="F109" s="15">
        <v>45044</v>
      </c>
      <c r="G109" s="16">
        <v>1.4</v>
      </c>
      <c r="H109" s="15"/>
      <c r="I109" s="16"/>
      <c r="J109" s="15"/>
      <c r="K109" s="16"/>
      <c r="L109" s="15"/>
      <c r="M109" s="63"/>
      <c r="N109" s="17"/>
      <c r="O109" s="16"/>
      <c r="P109" s="16"/>
      <c r="Q109" s="152">
        <f t="shared" si="12"/>
        <v>0</v>
      </c>
      <c r="R109" s="152">
        <f t="shared" si="13"/>
        <v>1.4</v>
      </c>
      <c r="S109" s="152">
        <f t="shared" si="14"/>
        <v>1.4</v>
      </c>
      <c r="T109" s="18">
        <f t="shared" si="15"/>
        <v>1.4</v>
      </c>
    </row>
    <row r="110" spans="2:20" x14ac:dyDescent="0.25">
      <c r="B110" s="117" t="s">
        <v>621</v>
      </c>
      <c r="C110" s="136" t="s">
        <v>450</v>
      </c>
      <c r="D110" s="14" t="s">
        <v>15</v>
      </c>
      <c r="E110" s="14" t="s">
        <v>56</v>
      </c>
      <c r="F110" s="153">
        <v>44935</v>
      </c>
      <c r="G110" s="154">
        <f>0.2*0.9744958*0.97927547*0.98111445*0.98178499</f>
        <v>0.18384461079293804</v>
      </c>
      <c r="H110" s="153">
        <v>45057</v>
      </c>
      <c r="I110" s="154">
        <f>0.3*0.97927547*0.98111445*0.98178499</f>
        <v>0.28298420187075923</v>
      </c>
      <c r="J110" s="153">
        <v>45152</v>
      </c>
      <c r="K110" s="154">
        <f>0.3*0.98111445*0.98178499</f>
        <v>0.28897303214463166</v>
      </c>
      <c r="L110" s="153">
        <v>45244</v>
      </c>
      <c r="M110" s="154">
        <f>0.3*0.98178499</f>
        <v>0.29453549699999998</v>
      </c>
      <c r="N110" s="17"/>
      <c r="O110" s="16"/>
      <c r="P110" s="16"/>
      <c r="Q110" s="152">
        <f t="shared" si="12"/>
        <v>0.18384461079293804</v>
      </c>
      <c r="R110" s="152">
        <f t="shared" si="13"/>
        <v>0.46682881266369725</v>
      </c>
      <c r="S110" s="152">
        <f t="shared" si="14"/>
        <v>0.7558018448083289</v>
      </c>
      <c r="T110" s="18">
        <f>G110+I110+K110+M110+O110</f>
        <v>1.0503373418083288</v>
      </c>
    </row>
    <row r="111" spans="2:20" x14ac:dyDescent="0.25">
      <c r="B111" s="117" t="s">
        <v>215</v>
      </c>
      <c r="C111" s="136" t="s">
        <v>216</v>
      </c>
      <c r="D111" s="14" t="s">
        <v>15</v>
      </c>
      <c r="E111" s="14" t="s">
        <v>200</v>
      </c>
      <c r="F111" s="15">
        <v>45015</v>
      </c>
      <c r="G111" s="16">
        <v>1.35</v>
      </c>
      <c r="H111" s="15">
        <v>45197</v>
      </c>
      <c r="I111" s="16">
        <v>1.35</v>
      </c>
      <c r="J111" s="15"/>
      <c r="K111" s="16"/>
      <c r="L111" s="15"/>
      <c r="M111" s="63"/>
      <c r="N111" s="17"/>
      <c r="O111" s="16"/>
      <c r="P111" s="16"/>
      <c r="Q111" s="152">
        <f t="shared" si="12"/>
        <v>0</v>
      </c>
      <c r="R111" s="152">
        <f t="shared" si="13"/>
        <v>1.35</v>
      </c>
      <c r="S111" s="152">
        <f t="shared" si="14"/>
        <v>1.35</v>
      </c>
      <c r="T111" s="18">
        <f t="shared" si="15"/>
        <v>2.7</v>
      </c>
    </row>
    <row r="112" spans="2:20" x14ac:dyDescent="0.25">
      <c r="B112" s="117" t="s">
        <v>816</v>
      </c>
      <c r="C112" s="136" t="s">
        <v>817</v>
      </c>
      <c r="D112" s="14" t="s">
        <v>15</v>
      </c>
      <c r="E112" s="14" t="s">
        <v>16</v>
      </c>
      <c r="F112" s="15">
        <v>45062</v>
      </c>
      <c r="G112" s="16">
        <v>1.9</v>
      </c>
      <c r="H112" s="15"/>
      <c r="I112" s="16"/>
      <c r="J112" s="15"/>
      <c r="K112" s="16"/>
      <c r="L112" s="15"/>
      <c r="M112" s="63"/>
      <c r="N112" s="17"/>
      <c r="O112" s="16"/>
      <c r="P112" s="16"/>
      <c r="Q112" s="152">
        <f t="shared" si="12"/>
        <v>0</v>
      </c>
      <c r="R112" s="152">
        <f t="shared" si="13"/>
        <v>1.9</v>
      </c>
      <c r="S112" s="152">
        <f t="shared" si="14"/>
        <v>1.9</v>
      </c>
      <c r="T112" s="18">
        <f t="shared" si="15"/>
        <v>1.9</v>
      </c>
    </row>
    <row r="113" spans="2:20" x14ac:dyDescent="0.25">
      <c r="B113" s="117" t="s">
        <v>632</v>
      </c>
      <c r="C113" s="136" t="s">
        <v>218</v>
      </c>
      <c r="D113" s="14" t="s">
        <v>24</v>
      </c>
      <c r="E113" s="14" t="s">
        <v>16</v>
      </c>
      <c r="F113" s="15">
        <v>45068</v>
      </c>
      <c r="G113" s="16">
        <v>3.23</v>
      </c>
      <c r="H113" s="15"/>
      <c r="I113" s="16"/>
      <c r="J113" s="15"/>
      <c r="K113" s="16"/>
      <c r="L113" s="15"/>
      <c r="M113" s="63"/>
      <c r="N113" s="17"/>
      <c r="O113" s="16"/>
      <c r="P113" s="16"/>
      <c r="Q113" s="152">
        <f t="shared" si="12"/>
        <v>0</v>
      </c>
      <c r="R113" s="152">
        <f t="shared" si="13"/>
        <v>3.23</v>
      </c>
      <c r="S113" s="152">
        <f t="shared" si="14"/>
        <v>3.23</v>
      </c>
      <c r="T113" s="18">
        <f t="shared" si="15"/>
        <v>3.23</v>
      </c>
    </row>
    <row r="114" spans="2:20" x14ac:dyDescent="0.25">
      <c r="B114" s="117" t="s">
        <v>852</v>
      </c>
      <c r="C114" s="136" t="s">
        <v>846</v>
      </c>
      <c r="D114" s="14" t="s">
        <v>15</v>
      </c>
      <c r="E114" s="14" t="s">
        <v>200</v>
      </c>
      <c r="F114" s="15">
        <v>45015</v>
      </c>
      <c r="G114" s="16">
        <v>7.25</v>
      </c>
      <c r="H114" s="15"/>
      <c r="I114" s="16"/>
      <c r="J114" s="15"/>
      <c r="K114" s="16"/>
      <c r="L114" s="15"/>
      <c r="M114" s="63"/>
      <c r="N114" s="17"/>
      <c r="O114" s="16"/>
      <c r="P114" s="16"/>
      <c r="Q114" s="152">
        <f t="shared" si="12"/>
        <v>0</v>
      </c>
      <c r="R114" s="152">
        <f t="shared" si="13"/>
        <v>7.25</v>
      </c>
      <c r="S114" s="152">
        <f t="shared" si="14"/>
        <v>7.25</v>
      </c>
      <c r="T114" s="18">
        <f t="shared" si="15"/>
        <v>7.25</v>
      </c>
    </row>
    <row r="115" spans="2:20" x14ac:dyDescent="0.25">
      <c r="B115" s="117" t="s">
        <v>808</v>
      </c>
      <c r="C115" s="136" t="s">
        <v>809</v>
      </c>
      <c r="D115" s="14" t="s">
        <v>714</v>
      </c>
      <c r="E115" s="14" t="s">
        <v>16</v>
      </c>
      <c r="F115" s="15">
        <v>45111</v>
      </c>
      <c r="G115" s="16">
        <v>1</v>
      </c>
      <c r="H115" s="15"/>
      <c r="I115" s="16"/>
      <c r="J115" s="15"/>
      <c r="K115" s="16"/>
      <c r="L115" s="15"/>
      <c r="M115" s="63"/>
      <c r="N115" s="17"/>
      <c r="O115" s="16"/>
      <c r="P115" s="16"/>
      <c r="Q115" s="152">
        <f t="shared" si="12"/>
        <v>0</v>
      </c>
      <c r="R115" s="152">
        <f t="shared" si="13"/>
        <v>0</v>
      </c>
      <c r="S115" s="152">
        <f t="shared" si="14"/>
        <v>1</v>
      </c>
      <c r="T115" s="18">
        <f t="shared" si="15"/>
        <v>1</v>
      </c>
    </row>
    <row r="116" spans="2:20" x14ac:dyDescent="0.25">
      <c r="B116" s="117" t="s">
        <v>873</v>
      </c>
      <c r="C116" s="136" t="s">
        <v>874</v>
      </c>
      <c r="D116" s="14" t="s">
        <v>15</v>
      </c>
      <c r="E116" s="14" t="s">
        <v>16</v>
      </c>
      <c r="F116" s="15">
        <v>45069</v>
      </c>
      <c r="G116" s="16">
        <v>2.2200000000000002</v>
      </c>
      <c r="H116" s="15"/>
      <c r="I116" s="16"/>
      <c r="J116" s="15"/>
      <c r="K116" s="16"/>
      <c r="L116" s="15"/>
      <c r="M116" s="63"/>
      <c r="N116" s="17"/>
      <c r="O116" s="16"/>
      <c r="P116" s="16"/>
      <c r="Q116" s="152">
        <f t="shared" si="12"/>
        <v>0</v>
      </c>
      <c r="R116" s="152">
        <f t="shared" si="13"/>
        <v>2.2200000000000002</v>
      </c>
      <c r="S116" s="152">
        <f t="shared" si="14"/>
        <v>2.2200000000000002</v>
      </c>
      <c r="T116" s="18">
        <f t="shared" si="15"/>
        <v>2.2200000000000002</v>
      </c>
    </row>
    <row r="117" spans="2:20" x14ac:dyDescent="0.25">
      <c r="B117" s="117" t="s">
        <v>219</v>
      </c>
      <c r="C117" s="136" t="s">
        <v>220</v>
      </c>
      <c r="D117" s="14" t="s">
        <v>24</v>
      </c>
      <c r="E117" s="14" t="s">
        <v>16</v>
      </c>
      <c r="F117" s="15"/>
      <c r="G117" s="16"/>
      <c r="H117" s="15"/>
      <c r="I117" s="16"/>
      <c r="J117" s="15"/>
      <c r="K117" s="16"/>
      <c r="L117" s="15"/>
      <c r="M117" s="63"/>
      <c r="N117" s="17"/>
      <c r="O117" s="16"/>
      <c r="P117" s="16"/>
      <c r="Q117" s="152">
        <f t="shared" si="12"/>
        <v>0</v>
      </c>
      <c r="R117" s="152">
        <f t="shared" si="13"/>
        <v>0</v>
      </c>
      <c r="S117" s="152">
        <f t="shared" si="14"/>
        <v>0</v>
      </c>
      <c r="T117" s="18">
        <f t="shared" si="15"/>
        <v>0</v>
      </c>
    </row>
    <row r="118" spans="2:20" x14ac:dyDescent="0.25">
      <c r="B118" s="117" t="s">
        <v>851</v>
      </c>
      <c r="C118" s="136" t="s">
        <v>847</v>
      </c>
      <c r="D118" s="14" t="s">
        <v>15</v>
      </c>
      <c r="E118" s="14" t="s">
        <v>16</v>
      </c>
      <c r="F118" s="15">
        <v>45021</v>
      </c>
      <c r="G118" s="16">
        <v>2</v>
      </c>
      <c r="H118" s="15"/>
      <c r="I118" s="16"/>
      <c r="J118" s="15"/>
      <c r="K118" s="16"/>
      <c r="L118" s="15"/>
      <c r="M118" s="63"/>
      <c r="N118" s="17"/>
      <c r="O118" s="16"/>
      <c r="P118" s="16"/>
      <c r="Q118" s="152">
        <f t="shared" si="12"/>
        <v>0</v>
      </c>
      <c r="R118" s="152">
        <f t="shared" si="13"/>
        <v>2</v>
      </c>
      <c r="S118" s="152">
        <f t="shared" si="14"/>
        <v>2</v>
      </c>
      <c r="T118" s="18">
        <f t="shared" si="15"/>
        <v>2</v>
      </c>
    </row>
    <row r="119" spans="2:20" x14ac:dyDescent="0.25">
      <c r="B119" s="117" t="s">
        <v>906</v>
      </c>
      <c r="C119" s="136" t="s">
        <v>907</v>
      </c>
      <c r="D119" s="14" t="s">
        <v>15</v>
      </c>
      <c r="E119" s="14" t="s">
        <v>16</v>
      </c>
      <c r="F119" s="15">
        <v>45079</v>
      </c>
      <c r="G119" s="16">
        <v>0.44</v>
      </c>
      <c r="H119" s="15"/>
      <c r="I119" s="16"/>
      <c r="J119" s="15"/>
      <c r="K119" s="16"/>
      <c r="L119" s="15"/>
      <c r="M119" s="63"/>
      <c r="N119" s="17"/>
      <c r="O119" s="16"/>
      <c r="P119" s="16"/>
      <c r="Q119" s="152">
        <f t="shared" si="12"/>
        <v>0</v>
      </c>
      <c r="R119" s="152">
        <f t="shared" si="13"/>
        <v>0.44</v>
      </c>
      <c r="S119" s="152">
        <f t="shared" si="14"/>
        <v>0.44</v>
      </c>
      <c r="T119" s="18">
        <f t="shared" si="15"/>
        <v>0.44</v>
      </c>
    </row>
    <row r="120" spans="2:20" x14ac:dyDescent="0.25">
      <c r="B120" s="117" t="s">
        <v>221</v>
      </c>
      <c r="C120" s="136" t="s">
        <v>222</v>
      </c>
      <c r="D120" s="14" t="s">
        <v>15</v>
      </c>
      <c r="E120" s="14" t="s">
        <v>56</v>
      </c>
      <c r="F120" s="15">
        <v>44931</v>
      </c>
      <c r="G120" s="16">
        <v>0.17</v>
      </c>
      <c r="H120" s="15">
        <v>45099</v>
      </c>
      <c r="I120" s="16">
        <v>0.3775</v>
      </c>
      <c r="J120" s="15"/>
      <c r="K120" s="16"/>
      <c r="L120" s="15"/>
      <c r="M120" s="63"/>
      <c r="N120" s="17"/>
      <c r="O120" s="16"/>
      <c r="P120" s="16"/>
      <c r="Q120" s="152">
        <f t="shared" si="12"/>
        <v>0.17</v>
      </c>
      <c r="R120" s="152">
        <f t="shared" si="13"/>
        <v>0.17</v>
      </c>
      <c r="S120" s="152">
        <f t="shared" si="14"/>
        <v>0.54749999999999999</v>
      </c>
      <c r="T120" s="18">
        <f t="shared" si="15"/>
        <v>0.54749999999999999</v>
      </c>
    </row>
    <row r="121" spans="2:20" x14ac:dyDescent="0.25">
      <c r="B121" s="117" t="s">
        <v>225</v>
      </c>
      <c r="C121" s="136" t="s">
        <v>226</v>
      </c>
      <c r="D121" s="14" t="s">
        <v>15</v>
      </c>
      <c r="E121" s="14" t="s">
        <v>16</v>
      </c>
      <c r="F121" s="15">
        <v>45112</v>
      </c>
      <c r="G121" s="16">
        <v>0.28710000000000002</v>
      </c>
      <c r="H121" s="15">
        <v>45224</v>
      </c>
      <c r="I121" s="16">
        <v>0.42759999999999998</v>
      </c>
      <c r="J121" s="15"/>
      <c r="K121" s="16"/>
      <c r="L121" s="15"/>
      <c r="M121" s="63"/>
      <c r="N121" s="17"/>
      <c r="O121" s="16"/>
      <c r="P121" s="16"/>
      <c r="Q121" s="152">
        <f t="shared" si="12"/>
        <v>0</v>
      </c>
      <c r="R121" s="152">
        <f t="shared" si="13"/>
        <v>0</v>
      </c>
      <c r="S121" s="152">
        <f t="shared" si="14"/>
        <v>0.28710000000000002</v>
      </c>
      <c r="T121" s="18">
        <f t="shared" si="15"/>
        <v>0.7147</v>
      </c>
    </row>
    <row r="122" spans="2:20" x14ac:dyDescent="0.25">
      <c r="B122" s="117" t="s">
        <v>810</v>
      </c>
      <c r="C122" s="136" t="s">
        <v>811</v>
      </c>
      <c r="D122" s="14" t="s">
        <v>15</v>
      </c>
      <c r="E122" s="14" t="s">
        <v>16</v>
      </c>
      <c r="F122" s="15">
        <v>45044</v>
      </c>
      <c r="G122" s="16">
        <v>0.8</v>
      </c>
      <c r="H122" s="15">
        <v>45153</v>
      </c>
      <c r="I122" s="16">
        <v>0.3</v>
      </c>
      <c r="J122" s="15"/>
      <c r="K122" s="16"/>
      <c r="L122" s="15"/>
      <c r="M122" s="63"/>
      <c r="N122" s="17"/>
      <c r="O122" s="16"/>
      <c r="P122" s="16"/>
      <c r="Q122" s="152">
        <f t="shared" si="12"/>
        <v>0</v>
      </c>
      <c r="R122" s="152">
        <f t="shared" si="13"/>
        <v>0.8</v>
      </c>
      <c r="S122" s="152">
        <f t="shared" si="14"/>
        <v>1.1000000000000001</v>
      </c>
      <c r="T122" s="18">
        <f t="shared" si="15"/>
        <v>1.1000000000000001</v>
      </c>
    </row>
    <row r="123" spans="2:20" x14ac:dyDescent="0.25">
      <c r="B123" s="117" t="s">
        <v>229</v>
      </c>
      <c r="C123" s="136" t="s">
        <v>230</v>
      </c>
      <c r="D123" s="14" t="s">
        <v>15</v>
      </c>
      <c r="E123" s="14" t="s">
        <v>16</v>
      </c>
      <c r="F123" s="15">
        <v>45030</v>
      </c>
      <c r="G123" s="16">
        <v>0.46</v>
      </c>
      <c r="H123" s="15">
        <v>45198</v>
      </c>
      <c r="I123" s="16">
        <v>0.45</v>
      </c>
      <c r="J123" s="15"/>
      <c r="K123" s="16"/>
      <c r="L123" s="15"/>
      <c r="M123" s="63"/>
      <c r="N123" s="17"/>
      <c r="O123" s="16"/>
      <c r="P123" s="16"/>
      <c r="Q123" s="152">
        <f t="shared" si="12"/>
        <v>0</v>
      </c>
      <c r="R123" s="152">
        <f t="shared" si="13"/>
        <v>0.46</v>
      </c>
      <c r="S123" s="152">
        <f t="shared" si="14"/>
        <v>0.46</v>
      </c>
      <c r="T123" s="18">
        <f t="shared" si="15"/>
        <v>0.91</v>
      </c>
    </row>
    <row r="124" spans="2:20" x14ac:dyDescent="0.25">
      <c r="B124" s="117" t="s">
        <v>231</v>
      </c>
      <c r="C124" s="136" t="s">
        <v>232</v>
      </c>
      <c r="D124" s="14" t="s">
        <v>15</v>
      </c>
      <c r="E124" s="14" t="s">
        <v>16</v>
      </c>
      <c r="F124" s="15">
        <v>45064</v>
      </c>
      <c r="G124" s="16">
        <v>0.92</v>
      </c>
      <c r="H124" s="15"/>
      <c r="I124" s="16"/>
      <c r="J124" s="15"/>
      <c r="K124" s="16"/>
      <c r="L124" s="15"/>
      <c r="M124" s="63"/>
      <c r="N124" s="17"/>
      <c r="O124" s="16"/>
      <c r="P124" s="47"/>
      <c r="Q124" s="152">
        <f t="shared" si="12"/>
        <v>0</v>
      </c>
      <c r="R124" s="152">
        <f t="shared" si="13"/>
        <v>0.92</v>
      </c>
      <c r="S124" s="152">
        <f t="shared" si="14"/>
        <v>0.92</v>
      </c>
      <c r="T124" s="18">
        <f t="shared" si="15"/>
        <v>0.92</v>
      </c>
    </row>
    <row r="125" spans="2:20" x14ac:dyDescent="0.25">
      <c r="B125" s="117" t="s">
        <v>867</v>
      </c>
      <c r="C125" s="136" t="s">
        <v>868</v>
      </c>
      <c r="D125" s="14" t="s">
        <v>15</v>
      </c>
      <c r="E125" s="14" t="s">
        <v>16</v>
      </c>
      <c r="F125" s="15">
        <v>45063</v>
      </c>
      <c r="G125" s="16">
        <v>1.1200000000000001</v>
      </c>
      <c r="H125" s="15"/>
      <c r="I125" s="16"/>
      <c r="J125" s="15"/>
      <c r="K125" s="16"/>
      <c r="L125" s="15"/>
      <c r="M125" s="63"/>
      <c r="N125" s="17"/>
      <c r="O125" s="16"/>
      <c r="P125" s="47"/>
      <c r="Q125" s="152">
        <f t="shared" si="12"/>
        <v>0</v>
      </c>
      <c r="R125" s="152">
        <f t="shared" si="13"/>
        <v>1.1200000000000001</v>
      </c>
      <c r="S125" s="152">
        <f t="shared" si="14"/>
        <v>1.1200000000000001</v>
      </c>
      <c r="T125" s="18">
        <f t="shared" si="15"/>
        <v>1.1200000000000001</v>
      </c>
    </row>
    <row r="126" spans="2:20" x14ac:dyDescent="0.25">
      <c r="B126" s="117" t="s">
        <v>796</v>
      </c>
      <c r="C126" s="136" t="s">
        <v>797</v>
      </c>
      <c r="D126" s="14" t="s">
        <v>15</v>
      </c>
      <c r="E126" s="14" t="s">
        <v>56</v>
      </c>
      <c r="F126" s="15">
        <v>45000</v>
      </c>
      <c r="G126" s="16">
        <v>1.07</v>
      </c>
      <c r="H126" s="15">
        <v>45092</v>
      </c>
      <c r="I126" s="16">
        <v>0.7</v>
      </c>
      <c r="J126" s="15">
        <v>45183</v>
      </c>
      <c r="K126" s="16">
        <v>0.8</v>
      </c>
      <c r="L126" s="15">
        <v>45274</v>
      </c>
      <c r="M126" s="63">
        <v>0.3</v>
      </c>
      <c r="N126" s="17"/>
      <c r="O126" s="16"/>
      <c r="P126" s="47"/>
      <c r="Q126" s="152">
        <f t="shared" si="12"/>
        <v>1.07</v>
      </c>
      <c r="R126" s="152">
        <f t="shared" si="13"/>
        <v>1.77</v>
      </c>
      <c r="S126" s="152">
        <f t="shared" si="14"/>
        <v>2.5700000000000003</v>
      </c>
      <c r="T126" s="18">
        <f t="shared" si="15"/>
        <v>2.87</v>
      </c>
    </row>
    <row r="127" spans="2:20" x14ac:dyDescent="0.25">
      <c r="B127" s="117" t="s">
        <v>233</v>
      </c>
      <c r="C127" s="136" t="s">
        <v>234</v>
      </c>
      <c r="D127" s="14" t="s">
        <v>15</v>
      </c>
      <c r="E127" s="14" t="s">
        <v>16</v>
      </c>
      <c r="F127" s="15"/>
      <c r="G127" s="16"/>
      <c r="H127" s="15"/>
      <c r="I127" s="16"/>
      <c r="J127" s="15"/>
      <c r="K127" s="16"/>
      <c r="L127" s="15"/>
      <c r="M127" s="63"/>
      <c r="N127" s="17"/>
      <c r="O127" s="16"/>
      <c r="P127" s="47"/>
      <c r="Q127" s="152">
        <f t="shared" si="12"/>
        <v>0</v>
      </c>
      <c r="R127" s="152">
        <f t="shared" si="13"/>
        <v>0</v>
      </c>
      <c r="S127" s="152">
        <f t="shared" si="14"/>
        <v>0</v>
      </c>
      <c r="T127" s="18">
        <f t="shared" si="15"/>
        <v>0</v>
      </c>
    </row>
    <row r="128" spans="2:20" x14ac:dyDescent="0.25">
      <c r="B128" s="117" t="s">
        <v>235</v>
      </c>
      <c r="C128" s="136" t="s">
        <v>236</v>
      </c>
      <c r="D128" s="14" t="s">
        <v>237</v>
      </c>
      <c r="E128" s="14" t="s">
        <v>16</v>
      </c>
      <c r="F128" s="15">
        <v>45065</v>
      </c>
      <c r="G128" s="16">
        <v>0.26</v>
      </c>
      <c r="H128" s="15">
        <v>45161</v>
      </c>
      <c r="I128" s="16">
        <v>0.27</v>
      </c>
      <c r="J128" s="15"/>
      <c r="K128" s="16"/>
      <c r="L128" s="15"/>
      <c r="M128" s="63"/>
      <c r="N128" s="17"/>
      <c r="O128" s="16"/>
      <c r="P128" s="16"/>
      <c r="Q128" s="152">
        <f t="shared" si="12"/>
        <v>0</v>
      </c>
      <c r="R128" s="152">
        <f t="shared" si="13"/>
        <v>0.26</v>
      </c>
      <c r="S128" s="152">
        <f t="shared" si="14"/>
        <v>0.53</v>
      </c>
      <c r="T128" s="18">
        <f t="shared" si="15"/>
        <v>0.53</v>
      </c>
    </row>
    <row r="129" spans="2:20" x14ac:dyDescent="0.25">
      <c r="B129" s="117" t="s">
        <v>623</v>
      </c>
      <c r="C129" s="136" t="s">
        <v>239</v>
      </c>
      <c r="D129" s="14" t="s">
        <v>15</v>
      </c>
      <c r="E129" s="14" t="s">
        <v>16</v>
      </c>
      <c r="F129" s="15">
        <v>45016</v>
      </c>
      <c r="G129" s="16">
        <v>0.5</v>
      </c>
      <c r="H129" s="15">
        <v>45141</v>
      </c>
      <c r="I129" s="16">
        <v>0.5</v>
      </c>
      <c r="J129" s="15">
        <v>45233</v>
      </c>
      <c r="K129" s="16">
        <v>0.5</v>
      </c>
      <c r="L129" s="15"/>
      <c r="M129" s="63"/>
      <c r="N129" s="17"/>
      <c r="O129" s="16"/>
      <c r="P129" s="16"/>
      <c r="Q129" s="152">
        <f t="shared" si="12"/>
        <v>0</v>
      </c>
      <c r="R129" s="152">
        <f t="shared" si="13"/>
        <v>0.5</v>
      </c>
      <c r="S129" s="152">
        <f t="shared" si="14"/>
        <v>1</v>
      </c>
      <c r="T129" s="18">
        <f t="shared" si="15"/>
        <v>1.5</v>
      </c>
    </row>
    <row r="130" spans="2:20" x14ac:dyDescent="0.25">
      <c r="B130" s="117" t="s">
        <v>242</v>
      </c>
      <c r="C130" s="136" t="s">
        <v>243</v>
      </c>
      <c r="D130" s="14" t="s">
        <v>15</v>
      </c>
      <c r="E130" s="14" t="s">
        <v>21</v>
      </c>
      <c r="F130" s="15">
        <v>45037</v>
      </c>
      <c r="G130" s="16">
        <v>12.6</v>
      </c>
      <c r="H130" s="15"/>
      <c r="I130" s="16"/>
      <c r="J130" s="15"/>
      <c r="K130" s="16"/>
      <c r="L130" s="15"/>
      <c r="M130" s="63"/>
      <c r="N130" s="17"/>
      <c r="O130" s="16"/>
      <c r="P130" s="16"/>
      <c r="Q130" s="152">
        <f t="shared" si="12"/>
        <v>0</v>
      </c>
      <c r="R130" s="152">
        <f t="shared" si="13"/>
        <v>12.6</v>
      </c>
      <c r="S130" s="152">
        <f t="shared" si="14"/>
        <v>12.6</v>
      </c>
      <c r="T130" s="18">
        <f t="shared" si="15"/>
        <v>12.6</v>
      </c>
    </row>
    <row r="131" spans="2:20" x14ac:dyDescent="0.25">
      <c r="B131" s="117" t="s">
        <v>825</v>
      </c>
      <c r="C131" s="136" t="s">
        <v>824</v>
      </c>
      <c r="D131" s="14" t="s">
        <v>15</v>
      </c>
      <c r="E131" s="14" t="s">
        <v>200</v>
      </c>
      <c r="F131" s="15">
        <v>45043</v>
      </c>
      <c r="G131" s="16">
        <v>4.25</v>
      </c>
      <c r="H131" s="15"/>
      <c r="I131" s="16"/>
      <c r="J131" s="15"/>
      <c r="K131" s="16"/>
      <c r="L131" s="15"/>
      <c r="M131" s="63"/>
      <c r="N131" s="17"/>
      <c r="O131" s="16"/>
      <c r="P131" s="16"/>
      <c r="Q131" s="152">
        <f t="shared" si="12"/>
        <v>0</v>
      </c>
      <c r="R131" s="152">
        <f t="shared" si="13"/>
        <v>4.25</v>
      </c>
      <c r="S131" s="152">
        <f t="shared" si="14"/>
        <v>4.25</v>
      </c>
      <c r="T131" s="18">
        <f t="shared" si="15"/>
        <v>4.25</v>
      </c>
    </row>
    <row r="132" spans="2:20" x14ac:dyDescent="0.25">
      <c r="B132" s="117" t="s">
        <v>248</v>
      </c>
      <c r="C132" s="136" t="s">
        <v>249</v>
      </c>
      <c r="D132" s="14" t="s">
        <v>15</v>
      </c>
      <c r="E132" s="14" t="s">
        <v>21</v>
      </c>
      <c r="F132" s="15">
        <v>45012</v>
      </c>
      <c r="G132" s="16">
        <v>67</v>
      </c>
      <c r="H132" s="15"/>
      <c r="I132" s="16"/>
      <c r="J132" s="15"/>
      <c r="K132" s="16"/>
      <c r="L132" s="15"/>
      <c r="M132" s="63"/>
      <c r="N132" s="17"/>
      <c r="O132" s="16"/>
      <c r="P132" s="16"/>
      <c r="Q132" s="152">
        <f t="shared" si="12"/>
        <v>0</v>
      </c>
      <c r="R132" s="152">
        <f t="shared" si="13"/>
        <v>67</v>
      </c>
      <c r="S132" s="152">
        <f t="shared" si="14"/>
        <v>67</v>
      </c>
      <c r="T132" s="18">
        <f t="shared" si="15"/>
        <v>67</v>
      </c>
    </row>
    <row r="133" spans="2:20" x14ac:dyDescent="0.25">
      <c r="B133" s="117" t="s">
        <v>915</v>
      </c>
      <c r="C133" s="136" t="s">
        <v>916</v>
      </c>
      <c r="D133" s="14" t="s">
        <v>755</v>
      </c>
      <c r="E133" s="14" t="s">
        <v>475</v>
      </c>
      <c r="F133" s="15">
        <v>45009</v>
      </c>
      <c r="G133" s="16">
        <v>8.25</v>
      </c>
      <c r="H133" s="15"/>
      <c r="I133" s="16"/>
      <c r="J133" s="15"/>
      <c r="K133" s="16"/>
      <c r="L133" s="15"/>
      <c r="M133" s="63"/>
      <c r="N133" s="17"/>
      <c r="O133" s="16"/>
      <c r="P133" s="16"/>
      <c r="Q133" s="152">
        <f t="shared" ref="Q133" si="20">IF(F133&lt;=Exp23Q1,G133,0)+IF(H133&lt;=Exp23Q1,I133,0)+IF(J133&lt;=Exp23Q1,K133,0)+IF(L133&lt;=Exp23Q1,M133,0)+IF(N133&lt;=Exp23Q1,O133,0)</f>
        <v>0</v>
      </c>
      <c r="R133" s="152">
        <f t="shared" ref="R133" si="21">IF(F133&lt;=Exp23H1,G133,0)+IF(H133&lt;=Exp23H1,I133,0)+IF(J133&lt;=Exp23H1,K133,0)+IF(L133&lt;=Exp23H1,M133,0)+IF(N133&lt;=Exp23H1,O133,0)</f>
        <v>8.25</v>
      </c>
      <c r="S133" s="152">
        <f t="shared" ref="S133" si="22">IF(F133&lt;=Exp23Q3,G133,0)+IF(H133&lt;=Exp23Q3,I133,0)+IF(J133&lt;=Exp23Q3,K133,0)+IF(L133&lt;=Exp23Q3,M133,0)+IF(N133&lt;=Exp23Q3,O133,0)</f>
        <v>8.25</v>
      </c>
      <c r="T133" s="18">
        <f t="shared" ref="T133" si="23">G133+I133+K133+M133+O133</f>
        <v>8.25</v>
      </c>
    </row>
    <row r="134" spans="2:20" x14ac:dyDescent="0.25">
      <c r="B134" s="117" t="s">
        <v>883</v>
      </c>
      <c r="C134" s="136" t="s">
        <v>251</v>
      </c>
      <c r="D134" s="14" t="s">
        <v>15</v>
      </c>
      <c r="E134" s="14" t="s">
        <v>761</v>
      </c>
      <c r="F134" s="15">
        <v>44980</v>
      </c>
      <c r="G134" s="16">
        <v>13.75</v>
      </c>
      <c r="H134" s="15">
        <v>45064</v>
      </c>
      <c r="I134" s="16">
        <v>14</v>
      </c>
      <c r="J134" s="15">
        <v>45155</v>
      </c>
      <c r="K134" s="16">
        <v>14</v>
      </c>
      <c r="L134" s="15">
        <v>45246</v>
      </c>
      <c r="M134" s="63">
        <v>14</v>
      </c>
      <c r="N134" s="17"/>
      <c r="O134" s="16"/>
      <c r="P134" s="16"/>
      <c r="Q134" s="152">
        <f t="shared" ref="Q134:Q192" si="24">IF(F134&lt;=Exp23Q1,G134,0)+IF(H134&lt;=Exp23Q1,I134,0)+IF(J134&lt;=Exp23Q1,K134,0)+IF(L134&lt;=Exp23Q1,M134,0)+IF(N134&lt;=Exp23Q1,O134,0)</f>
        <v>13.75</v>
      </c>
      <c r="R134" s="152">
        <f t="shared" ref="R134:R192" si="25">IF(F134&lt;=Exp23H1,G134,0)+IF(H134&lt;=Exp23H1,I134,0)+IF(J134&lt;=Exp23H1,K134,0)+IF(L134&lt;=Exp23H1,M134,0)+IF(N134&lt;=Exp23H1,O134,0)</f>
        <v>27.75</v>
      </c>
      <c r="S134" s="152">
        <f t="shared" ref="S134:S192" si="26">IF(F134&lt;=Exp23Q3,G134,0)+IF(H134&lt;=Exp23Q3,I134,0)+IF(J134&lt;=Exp23Q3,K134,0)+IF(L134&lt;=Exp23Q3,M134,0)+IF(N134&lt;=Exp23Q3,O134,0)</f>
        <v>41.75</v>
      </c>
      <c r="T134" s="18">
        <f t="shared" si="15"/>
        <v>55.75</v>
      </c>
    </row>
    <row r="135" spans="2:20" x14ac:dyDescent="0.25">
      <c r="B135" s="117" t="s">
        <v>252</v>
      </c>
      <c r="C135" s="136" t="s">
        <v>253</v>
      </c>
      <c r="D135" s="14" t="s">
        <v>15</v>
      </c>
      <c r="E135" s="14" t="s">
        <v>56</v>
      </c>
      <c r="F135" s="153">
        <v>45050</v>
      </c>
      <c r="G135" s="154">
        <f>0.2*0.99641829*0.98133514</f>
        <v>0.19556405642314215</v>
      </c>
      <c r="H135" s="153">
        <v>45169</v>
      </c>
      <c r="I135" s="154">
        <f>0.2*0.98133514</f>
        <v>0.19626702800000001</v>
      </c>
      <c r="J135" s="15"/>
      <c r="K135" s="16"/>
      <c r="L135" s="15"/>
      <c r="M135" s="63"/>
      <c r="N135" s="17"/>
      <c r="O135" s="16"/>
      <c r="P135" s="16"/>
      <c r="Q135" s="152">
        <f t="shared" si="24"/>
        <v>0</v>
      </c>
      <c r="R135" s="152">
        <f t="shared" si="25"/>
        <v>0.19556405642314215</v>
      </c>
      <c r="S135" s="152">
        <f t="shared" si="26"/>
        <v>0.39183108442314218</v>
      </c>
      <c r="T135" s="18">
        <f t="shared" si="15"/>
        <v>0.39183108442314218</v>
      </c>
    </row>
    <row r="136" spans="2:20" x14ac:dyDescent="0.25">
      <c r="B136" s="117" t="s">
        <v>254</v>
      </c>
      <c r="C136" s="136" t="s">
        <v>255</v>
      </c>
      <c r="D136" s="14" t="s">
        <v>27</v>
      </c>
      <c r="E136" s="14" t="s">
        <v>16</v>
      </c>
      <c r="F136" s="15">
        <v>45057</v>
      </c>
      <c r="G136" s="16">
        <v>2.75</v>
      </c>
      <c r="H136" s="15"/>
      <c r="I136" s="16"/>
      <c r="J136" s="15"/>
      <c r="K136" s="16"/>
      <c r="L136" s="15"/>
      <c r="M136" s="63"/>
      <c r="N136" s="17"/>
      <c r="O136" s="16"/>
      <c r="P136" s="16"/>
      <c r="Q136" s="152">
        <f t="shared" si="24"/>
        <v>0</v>
      </c>
      <c r="R136" s="152">
        <f t="shared" si="25"/>
        <v>2.75</v>
      </c>
      <c r="S136" s="152">
        <f t="shared" si="26"/>
        <v>2.75</v>
      </c>
      <c r="T136" s="18">
        <f t="shared" si="15"/>
        <v>2.75</v>
      </c>
    </row>
    <row r="137" spans="2:20" x14ac:dyDescent="0.25">
      <c r="B137" s="117" t="s">
        <v>935</v>
      </c>
      <c r="C137" s="136" t="s">
        <v>870</v>
      </c>
      <c r="D137" s="39" t="s">
        <v>15</v>
      </c>
      <c r="E137" s="39" t="s">
        <v>16</v>
      </c>
      <c r="F137" s="15">
        <v>45058</v>
      </c>
      <c r="G137" s="16">
        <v>2.6</v>
      </c>
      <c r="H137" s="15"/>
      <c r="I137" s="16"/>
      <c r="J137" s="15"/>
      <c r="K137" s="16"/>
      <c r="L137" s="15"/>
      <c r="M137" s="63"/>
      <c r="N137" s="17"/>
      <c r="O137" s="16"/>
      <c r="P137" s="16"/>
      <c r="Q137" s="152">
        <f t="shared" si="24"/>
        <v>0</v>
      </c>
      <c r="R137" s="152">
        <f t="shared" si="25"/>
        <v>2.6</v>
      </c>
      <c r="S137" s="152">
        <f t="shared" si="26"/>
        <v>2.6</v>
      </c>
      <c r="T137" s="18">
        <f t="shared" si="15"/>
        <v>2.6</v>
      </c>
    </row>
    <row r="138" spans="2:20" x14ac:dyDescent="0.25">
      <c r="B138" s="117" t="s">
        <v>256</v>
      </c>
      <c r="C138" s="136" t="s">
        <v>257</v>
      </c>
      <c r="D138" s="39" t="s">
        <v>15</v>
      </c>
      <c r="E138" s="39" t="s">
        <v>16</v>
      </c>
      <c r="F138" s="15">
        <v>45040</v>
      </c>
      <c r="G138" s="16">
        <v>1.23</v>
      </c>
      <c r="H138" s="15">
        <v>45140</v>
      </c>
      <c r="I138" s="16">
        <v>0.69</v>
      </c>
      <c r="J138" s="15"/>
      <c r="K138" s="16"/>
      <c r="L138" s="15"/>
      <c r="M138" s="63"/>
      <c r="N138" s="17"/>
      <c r="O138" s="16"/>
      <c r="P138" s="16"/>
      <c r="Q138" s="152">
        <f t="shared" si="24"/>
        <v>0</v>
      </c>
      <c r="R138" s="152">
        <f t="shared" si="25"/>
        <v>1.23</v>
      </c>
      <c r="S138" s="152">
        <f t="shared" si="26"/>
        <v>1.92</v>
      </c>
      <c r="T138" s="18">
        <f t="shared" si="15"/>
        <v>1.92</v>
      </c>
    </row>
    <row r="139" spans="2:20" x14ac:dyDescent="0.25">
      <c r="B139" s="117" t="s">
        <v>258</v>
      </c>
      <c r="C139" s="136" t="s">
        <v>259</v>
      </c>
      <c r="D139" s="14" t="s">
        <v>15</v>
      </c>
      <c r="E139" s="14" t="s">
        <v>16</v>
      </c>
      <c r="F139" s="15">
        <v>45041</v>
      </c>
      <c r="G139" s="16">
        <v>1.85</v>
      </c>
      <c r="H139" s="15"/>
      <c r="I139" s="16"/>
      <c r="J139" s="15"/>
      <c r="K139" s="16"/>
      <c r="L139" s="15"/>
      <c r="M139" s="63"/>
      <c r="N139" s="17"/>
      <c r="O139" s="16"/>
      <c r="P139" s="16"/>
      <c r="Q139" s="152">
        <f t="shared" si="24"/>
        <v>0</v>
      </c>
      <c r="R139" s="152">
        <f t="shared" si="25"/>
        <v>1.85</v>
      </c>
      <c r="S139" s="152">
        <f t="shared" si="26"/>
        <v>1.85</v>
      </c>
      <c r="T139" s="18">
        <f t="shared" si="15"/>
        <v>1.85</v>
      </c>
    </row>
    <row r="140" spans="2:20" x14ac:dyDescent="0.25">
      <c r="B140" s="117" t="s">
        <v>260</v>
      </c>
      <c r="C140" s="136" t="s">
        <v>261</v>
      </c>
      <c r="D140" s="14" t="s">
        <v>15</v>
      </c>
      <c r="E140" s="14" t="s">
        <v>200</v>
      </c>
      <c r="F140" s="15">
        <v>45051</v>
      </c>
      <c r="G140" s="16">
        <v>3.25</v>
      </c>
      <c r="H140" s="15">
        <v>45239</v>
      </c>
      <c r="I140" s="16">
        <v>3.25</v>
      </c>
      <c r="J140" s="15"/>
      <c r="K140" s="16"/>
      <c r="L140" s="15"/>
      <c r="M140" s="63"/>
      <c r="N140" s="17"/>
      <c r="O140" s="16"/>
      <c r="P140" s="16"/>
      <c r="Q140" s="152">
        <f t="shared" si="24"/>
        <v>0</v>
      </c>
      <c r="R140" s="152">
        <f t="shared" si="25"/>
        <v>3.25</v>
      </c>
      <c r="S140" s="152">
        <f t="shared" si="26"/>
        <v>3.25</v>
      </c>
      <c r="T140" s="18">
        <f t="shared" si="15"/>
        <v>6.5</v>
      </c>
    </row>
    <row r="141" spans="2:20" x14ac:dyDescent="0.25">
      <c r="B141" s="117" t="s">
        <v>626</v>
      </c>
      <c r="C141" s="136" t="s">
        <v>627</v>
      </c>
      <c r="D141" s="14" t="s">
        <v>24</v>
      </c>
      <c r="E141" s="14" t="s">
        <v>16</v>
      </c>
      <c r="F141" s="15">
        <v>44977</v>
      </c>
      <c r="G141" s="16">
        <v>3.5</v>
      </c>
      <c r="H141" s="15">
        <v>45041</v>
      </c>
      <c r="I141" s="16">
        <v>9.5</v>
      </c>
      <c r="J141" s="15"/>
      <c r="K141" s="16"/>
      <c r="L141" s="15"/>
      <c r="M141" s="63"/>
      <c r="N141" s="17"/>
      <c r="O141" s="16"/>
      <c r="P141" s="16"/>
      <c r="Q141" s="152">
        <f t="shared" si="24"/>
        <v>3.5</v>
      </c>
      <c r="R141" s="152">
        <f t="shared" si="25"/>
        <v>13</v>
      </c>
      <c r="S141" s="152">
        <f t="shared" si="26"/>
        <v>13</v>
      </c>
      <c r="T141" s="18">
        <f t="shared" si="15"/>
        <v>13</v>
      </c>
    </row>
    <row r="142" spans="2:20" x14ac:dyDescent="0.25">
      <c r="B142" s="117" t="s">
        <v>834</v>
      </c>
      <c r="C142" s="136" t="s">
        <v>835</v>
      </c>
      <c r="D142" s="45" t="s">
        <v>15</v>
      </c>
      <c r="E142" s="45" t="s">
        <v>16</v>
      </c>
      <c r="F142" s="15">
        <v>45049</v>
      </c>
      <c r="G142" s="16">
        <v>0.12</v>
      </c>
      <c r="H142" s="15"/>
      <c r="I142" s="16"/>
      <c r="J142" s="15"/>
      <c r="K142" s="16"/>
      <c r="L142" s="15"/>
      <c r="M142" s="63"/>
      <c r="N142" s="17"/>
      <c r="O142" s="16"/>
      <c r="P142" s="16"/>
      <c r="Q142" s="152">
        <f t="shared" si="24"/>
        <v>0</v>
      </c>
      <c r="R142" s="152">
        <f t="shared" si="25"/>
        <v>0.12</v>
      </c>
      <c r="S142" s="152">
        <f t="shared" si="26"/>
        <v>0.12</v>
      </c>
      <c r="T142" s="18">
        <f t="shared" si="15"/>
        <v>0.12</v>
      </c>
    </row>
    <row r="143" spans="2:20" x14ac:dyDescent="0.25">
      <c r="B143" s="117" t="s">
        <v>264</v>
      </c>
      <c r="C143" s="136" t="s">
        <v>265</v>
      </c>
      <c r="D143" s="45" t="s">
        <v>15</v>
      </c>
      <c r="E143" s="45" t="s">
        <v>56</v>
      </c>
      <c r="F143" s="15">
        <v>44987</v>
      </c>
      <c r="G143" s="16">
        <v>0.23</v>
      </c>
      <c r="H143" s="15">
        <v>45057</v>
      </c>
      <c r="I143" s="16">
        <v>0.1</v>
      </c>
      <c r="J143" s="15">
        <v>45148</v>
      </c>
      <c r="K143" s="16">
        <v>0.1</v>
      </c>
      <c r="L143" s="15">
        <v>45239</v>
      </c>
      <c r="M143" s="63">
        <v>0.1</v>
      </c>
      <c r="N143" s="17"/>
      <c r="O143" s="16"/>
      <c r="P143" s="16"/>
      <c r="Q143" s="152">
        <f t="shared" si="24"/>
        <v>0.23</v>
      </c>
      <c r="R143" s="152">
        <f t="shared" si="25"/>
        <v>0.33</v>
      </c>
      <c r="S143" s="152">
        <f t="shared" si="26"/>
        <v>0.43000000000000005</v>
      </c>
      <c r="T143" s="18">
        <f t="shared" si="15"/>
        <v>0.53</v>
      </c>
    </row>
    <row r="144" spans="2:20" x14ac:dyDescent="0.25">
      <c r="B144" s="117" t="s">
        <v>266</v>
      </c>
      <c r="C144" s="136" t="s">
        <v>267</v>
      </c>
      <c r="D144" s="14" t="s">
        <v>15</v>
      </c>
      <c r="E144" s="14" t="s">
        <v>16</v>
      </c>
      <c r="F144" s="15">
        <v>44932</v>
      </c>
      <c r="G144" s="16">
        <v>0.18</v>
      </c>
      <c r="H144" s="15">
        <v>45036</v>
      </c>
      <c r="I144" s="16">
        <v>5.0000000000000001E-3</v>
      </c>
      <c r="J144" s="15">
        <v>45114</v>
      </c>
      <c r="K144" s="16">
        <v>0.316</v>
      </c>
      <c r="L144" s="15"/>
      <c r="M144" s="63"/>
      <c r="N144" s="17"/>
      <c r="O144" s="16"/>
      <c r="P144" s="16"/>
      <c r="Q144" s="152">
        <f t="shared" si="24"/>
        <v>0.18</v>
      </c>
      <c r="R144" s="152">
        <f t="shared" si="25"/>
        <v>0.185</v>
      </c>
      <c r="S144" s="152">
        <f t="shared" si="26"/>
        <v>0.501</v>
      </c>
      <c r="T144" s="18">
        <f t="shared" si="15"/>
        <v>0.501</v>
      </c>
    </row>
    <row r="145" spans="2:20" x14ac:dyDescent="0.25">
      <c r="B145" s="117" t="s">
        <v>268</v>
      </c>
      <c r="C145" s="136" t="s">
        <v>269</v>
      </c>
      <c r="D145" s="14" t="s">
        <v>15</v>
      </c>
      <c r="E145" s="14" t="s">
        <v>761</v>
      </c>
      <c r="F145" s="15">
        <v>44973</v>
      </c>
      <c r="G145" s="16">
        <v>49.32</v>
      </c>
      <c r="H145" s="15">
        <v>45071</v>
      </c>
      <c r="I145" s="16">
        <v>21.59</v>
      </c>
      <c r="J145" s="15">
        <v>45155</v>
      </c>
      <c r="K145" s="16">
        <v>21.59</v>
      </c>
      <c r="L145" s="15">
        <v>45253</v>
      </c>
      <c r="M145" s="63">
        <v>51.82</v>
      </c>
      <c r="N145" s="17"/>
      <c r="O145" s="16"/>
      <c r="P145" s="16"/>
      <c r="Q145" s="152">
        <f t="shared" si="24"/>
        <v>49.32</v>
      </c>
      <c r="R145" s="152">
        <f t="shared" si="25"/>
        <v>70.91</v>
      </c>
      <c r="S145" s="152">
        <f t="shared" si="26"/>
        <v>92.5</v>
      </c>
      <c r="T145" s="18">
        <f t="shared" si="15"/>
        <v>144.32</v>
      </c>
    </row>
    <row r="146" spans="2:20" x14ac:dyDescent="0.25">
      <c r="B146" s="117" t="s">
        <v>270</v>
      </c>
      <c r="C146" s="136" t="s">
        <v>271</v>
      </c>
      <c r="D146" s="14" t="s">
        <v>15</v>
      </c>
      <c r="E146" s="14" t="s">
        <v>16</v>
      </c>
      <c r="F146" s="153">
        <v>45043</v>
      </c>
      <c r="G146" s="154">
        <f>0.6*0.98771065</f>
        <v>0.59262638999999995</v>
      </c>
      <c r="H146" s="153">
        <v>45230</v>
      </c>
      <c r="I146" s="154">
        <f>0.196*0.98771065</f>
        <v>0.19359128740000001</v>
      </c>
      <c r="J146" s="15"/>
      <c r="K146" s="16"/>
      <c r="L146" s="15"/>
      <c r="M146" s="63"/>
      <c r="N146" s="17"/>
      <c r="O146" s="16"/>
      <c r="P146" s="16"/>
      <c r="Q146" s="152">
        <f t="shared" si="24"/>
        <v>0</v>
      </c>
      <c r="R146" s="152">
        <f t="shared" si="25"/>
        <v>0.59262638999999995</v>
      </c>
      <c r="S146" s="152">
        <f t="shared" si="26"/>
        <v>0.59262638999999995</v>
      </c>
      <c r="T146" s="18">
        <f t="shared" si="15"/>
        <v>0.78621767739999993</v>
      </c>
    </row>
    <row r="147" spans="2:20" x14ac:dyDescent="0.25">
      <c r="B147" s="117" t="s">
        <v>871</v>
      </c>
      <c r="C147" s="136" t="s">
        <v>872</v>
      </c>
      <c r="D147" s="14" t="s">
        <v>15</v>
      </c>
      <c r="E147" s="14" t="s">
        <v>16</v>
      </c>
      <c r="F147" s="15">
        <v>44974</v>
      </c>
      <c r="G147" s="16">
        <v>0.32</v>
      </c>
      <c r="H147" s="15"/>
      <c r="I147" s="16"/>
      <c r="J147" s="15"/>
      <c r="K147" s="16"/>
      <c r="L147" s="15"/>
      <c r="M147" s="63"/>
      <c r="N147" s="17"/>
      <c r="O147" s="16"/>
      <c r="P147" s="16"/>
      <c r="Q147" s="152">
        <f t="shared" si="24"/>
        <v>0.32</v>
      </c>
      <c r="R147" s="152">
        <f t="shared" si="25"/>
        <v>0.32</v>
      </c>
      <c r="S147" s="152">
        <f t="shared" si="26"/>
        <v>0.32</v>
      </c>
      <c r="T147" s="18">
        <f t="shared" ref="T147:T205" si="27">G147+I147+K147+M147+O147</f>
        <v>0.32</v>
      </c>
    </row>
    <row r="148" spans="2:20" x14ac:dyDescent="0.25">
      <c r="B148" s="117" t="s">
        <v>273</v>
      </c>
      <c r="C148" s="136" t="s">
        <v>274</v>
      </c>
      <c r="D148" s="14" t="s">
        <v>15</v>
      </c>
      <c r="E148" s="14" t="s">
        <v>16</v>
      </c>
      <c r="F148" s="15">
        <v>45042</v>
      </c>
      <c r="G148" s="16">
        <v>0.38900000000000001</v>
      </c>
      <c r="H148" s="15">
        <v>45145</v>
      </c>
      <c r="I148" s="16">
        <v>0.35</v>
      </c>
      <c r="J148" s="15"/>
      <c r="K148" s="16"/>
      <c r="L148" s="15"/>
      <c r="M148" s="63"/>
      <c r="N148" s="17"/>
      <c r="O148" s="16"/>
      <c r="P148" s="16"/>
      <c r="Q148" s="152">
        <f t="shared" si="24"/>
        <v>0</v>
      </c>
      <c r="R148" s="152">
        <f t="shared" si="25"/>
        <v>0.38900000000000001</v>
      </c>
      <c r="S148" s="152">
        <f t="shared" si="26"/>
        <v>0.73899999999999999</v>
      </c>
      <c r="T148" s="18">
        <f t="shared" si="27"/>
        <v>0.73899999999999999</v>
      </c>
    </row>
    <row r="149" spans="2:20" x14ac:dyDescent="0.25">
      <c r="B149" s="117" t="s">
        <v>836</v>
      </c>
      <c r="C149" s="136" t="s">
        <v>837</v>
      </c>
      <c r="D149" s="14" t="s">
        <v>15</v>
      </c>
      <c r="E149" s="14" t="s">
        <v>200</v>
      </c>
      <c r="F149" s="15">
        <v>45050</v>
      </c>
      <c r="G149" s="16">
        <v>3.3</v>
      </c>
      <c r="H149" s="15">
        <v>45233</v>
      </c>
      <c r="I149" s="16">
        <v>1.1000000000000001</v>
      </c>
      <c r="J149" s="15"/>
      <c r="K149" s="16"/>
      <c r="L149" s="15"/>
      <c r="M149" s="63"/>
      <c r="N149" s="17"/>
      <c r="O149" s="16"/>
      <c r="P149" s="16"/>
      <c r="Q149" s="152">
        <f t="shared" si="24"/>
        <v>0</v>
      </c>
      <c r="R149" s="152">
        <f t="shared" si="25"/>
        <v>3.3</v>
      </c>
      <c r="S149" s="152">
        <f t="shared" si="26"/>
        <v>3.3</v>
      </c>
      <c r="T149" s="18">
        <f t="shared" si="27"/>
        <v>4.4000000000000004</v>
      </c>
    </row>
    <row r="150" spans="2:20" x14ac:dyDescent="0.25">
      <c r="B150" s="117" t="s">
        <v>751</v>
      </c>
      <c r="C150" s="136" t="s">
        <v>752</v>
      </c>
      <c r="D150" s="14" t="s">
        <v>237</v>
      </c>
      <c r="E150" s="14" t="s">
        <v>16</v>
      </c>
      <c r="F150" s="15">
        <v>45061</v>
      </c>
      <c r="G150" s="16">
        <v>0.55000000000000004</v>
      </c>
      <c r="H150" s="15"/>
      <c r="I150" s="16"/>
      <c r="J150" s="15"/>
      <c r="K150" s="16"/>
      <c r="L150" s="15"/>
      <c r="M150" s="63"/>
      <c r="N150" s="17"/>
      <c r="O150" s="16"/>
      <c r="P150" s="16"/>
      <c r="Q150" s="152">
        <f t="shared" si="24"/>
        <v>0</v>
      </c>
      <c r="R150" s="152">
        <f t="shared" si="25"/>
        <v>0.55000000000000004</v>
      </c>
      <c r="S150" s="152">
        <f t="shared" si="26"/>
        <v>0.55000000000000004</v>
      </c>
      <c r="T150" s="18">
        <f t="shared" si="27"/>
        <v>0.55000000000000004</v>
      </c>
    </row>
    <row r="151" spans="2:20" x14ac:dyDescent="0.25">
      <c r="B151" s="117" t="s">
        <v>284</v>
      </c>
      <c r="C151" s="136" t="s">
        <v>285</v>
      </c>
      <c r="D151" s="14" t="s">
        <v>15</v>
      </c>
      <c r="E151" s="14" t="s">
        <v>21</v>
      </c>
      <c r="F151" s="15">
        <v>45033</v>
      </c>
      <c r="G151" s="16">
        <v>2.6</v>
      </c>
      <c r="H151" s="15"/>
      <c r="I151" s="16"/>
      <c r="J151" s="15"/>
      <c r="K151" s="16"/>
      <c r="L151" s="15"/>
      <c r="M151" s="63"/>
      <c r="N151" s="17"/>
      <c r="O151" s="16"/>
      <c r="P151" s="16"/>
      <c r="Q151" s="152">
        <f t="shared" si="24"/>
        <v>0</v>
      </c>
      <c r="R151" s="152">
        <f t="shared" si="25"/>
        <v>2.6</v>
      </c>
      <c r="S151" s="152">
        <f t="shared" si="26"/>
        <v>2.6</v>
      </c>
      <c r="T151" s="18">
        <f t="shared" si="27"/>
        <v>2.6</v>
      </c>
    </row>
    <row r="152" spans="2:20" x14ac:dyDescent="0.25">
      <c r="B152" s="12" t="s">
        <v>286</v>
      </c>
      <c r="C152" s="136" t="s">
        <v>287</v>
      </c>
      <c r="D152" s="14" t="s">
        <v>15</v>
      </c>
      <c r="E152" s="14" t="s">
        <v>16</v>
      </c>
      <c r="F152" s="15">
        <v>45057</v>
      </c>
      <c r="G152" s="16">
        <v>1</v>
      </c>
      <c r="H152" s="15"/>
      <c r="I152" s="16"/>
      <c r="J152" s="15"/>
      <c r="K152" s="16"/>
      <c r="L152" s="15"/>
      <c r="M152" s="63"/>
      <c r="N152" s="17"/>
      <c r="O152" s="16"/>
      <c r="P152" s="16"/>
      <c r="Q152" s="152">
        <f t="shared" si="24"/>
        <v>0</v>
      </c>
      <c r="R152" s="152">
        <f t="shared" si="25"/>
        <v>1</v>
      </c>
      <c r="S152" s="152">
        <f t="shared" si="26"/>
        <v>1</v>
      </c>
      <c r="T152" s="18">
        <f t="shared" si="27"/>
        <v>1</v>
      </c>
    </row>
    <row r="153" spans="2:20" x14ac:dyDescent="0.25">
      <c r="B153" s="117" t="s">
        <v>288</v>
      </c>
      <c r="C153" s="136" t="s">
        <v>289</v>
      </c>
      <c r="D153" s="14" t="s">
        <v>27</v>
      </c>
      <c r="E153" s="14" t="s">
        <v>16</v>
      </c>
      <c r="F153" s="15">
        <v>45055</v>
      </c>
      <c r="G153" s="16">
        <v>3</v>
      </c>
      <c r="H153" s="15">
        <v>45243</v>
      </c>
      <c r="I153" s="16">
        <v>1</v>
      </c>
      <c r="J153" s="15"/>
      <c r="K153" s="16"/>
      <c r="L153" s="15"/>
      <c r="M153" s="63"/>
      <c r="N153" s="17"/>
      <c r="O153" s="16"/>
      <c r="P153" s="16"/>
      <c r="Q153" s="152">
        <f t="shared" si="24"/>
        <v>0</v>
      </c>
      <c r="R153" s="152">
        <f t="shared" si="25"/>
        <v>3</v>
      </c>
      <c r="S153" s="152">
        <f t="shared" si="26"/>
        <v>3</v>
      </c>
      <c r="T153" s="18">
        <f t="shared" si="27"/>
        <v>4</v>
      </c>
    </row>
    <row r="154" spans="2:20" x14ac:dyDescent="0.25">
      <c r="B154" s="117" t="s">
        <v>290</v>
      </c>
      <c r="C154" s="136" t="s">
        <v>291</v>
      </c>
      <c r="D154" s="14" t="s">
        <v>24</v>
      </c>
      <c r="E154" s="14" t="s">
        <v>16</v>
      </c>
      <c r="F154" s="15">
        <v>44942</v>
      </c>
      <c r="G154" s="16">
        <v>4.5</v>
      </c>
      <c r="H154" s="15">
        <v>45048</v>
      </c>
      <c r="I154" s="16">
        <v>9.5</v>
      </c>
      <c r="J154" s="15"/>
      <c r="K154" s="16"/>
      <c r="L154" s="15"/>
      <c r="M154" s="63"/>
      <c r="N154" s="17"/>
      <c r="O154" s="16"/>
      <c r="P154" s="16"/>
      <c r="Q154" s="152">
        <f t="shared" si="24"/>
        <v>4.5</v>
      </c>
      <c r="R154" s="152">
        <f t="shared" si="25"/>
        <v>14</v>
      </c>
      <c r="S154" s="152">
        <f t="shared" si="26"/>
        <v>14</v>
      </c>
      <c r="T154" s="18">
        <f t="shared" si="27"/>
        <v>14</v>
      </c>
    </row>
    <row r="155" spans="2:20" x14ac:dyDescent="0.25">
      <c r="B155" s="117" t="s">
        <v>292</v>
      </c>
      <c r="C155" s="136" t="s">
        <v>293</v>
      </c>
      <c r="D155" s="14" t="s">
        <v>15</v>
      </c>
      <c r="E155" s="14" t="s">
        <v>16</v>
      </c>
      <c r="F155" s="15">
        <v>45016</v>
      </c>
      <c r="G155" s="16">
        <v>0.27</v>
      </c>
      <c r="H155" s="15">
        <v>45097</v>
      </c>
      <c r="I155" s="16">
        <v>0.27</v>
      </c>
      <c r="J155" s="15">
        <v>45180</v>
      </c>
      <c r="K155" s="16">
        <v>0.27</v>
      </c>
      <c r="L155" s="15">
        <v>45271</v>
      </c>
      <c r="M155" s="63">
        <v>0.27</v>
      </c>
      <c r="N155" s="17"/>
      <c r="O155" s="16"/>
      <c r="P155" s="16"/>
      <c r="Q155" s="152">
        <f t="shared" si="24"/>
        <v>0</v>
      </c>
      <c r="R155" s="152">
        <f t="shared" si="25"/>
        <v>0.27</v>
      </c>
      <c r="S155" s="152">
        <f t="shared" si="26"/>
        <v>0.81</v>
      </c>
      <c r="T155" s="18">
        <f t="shared" si="27"/>
        <v>1.08</v>
      </c>
    </row>
    <row r="156" spans="2:20" x14ac:dyDescent="0.25">
      <c r="B156" s="117" t="s">
        <v>294</v>
      </c>
      <c r="C156" s="136" t="s">
        <v>295</v>
      </c>
      <c r="D156" s="14" t="s">
        <v>15</v>
      </c>
      <c r="E156" s="14" t="s">
        <v>200</v>
      </c>
      <c r="F156" s="15"/>
      <c r="G156" s="16"/>
      <c r="H156" s="15"/>
      <c r="I156" s="16"/>
      <c r="J156" s="15"/>
      <c r="K156" s="16"/>
      <c r="L156" s="15"/>
      <c r="M156" s="63"/>
      <c r="N156" s="17"/>
      <c r="O156" s="16"/>
      <c r="P156" s="16"/>
      <c r="Q156" s="152">
        <f t="shared" si="24"/>
        <v>0</v>
      </c>
      <c r="R156" s="152">
        <f t="shared" si="25"/>
        <v>0</v>
      </c>
      <c r="S156" s="152">
        <f t="shared" si="26"/>
        <v>0</v>
      </c>
      <c r="T156" s="18">
        <f t="shared" si="27"/>
        <v>0</v>
      </c>
    </row>
    <row r="157" spans="2:20" x14ac:dyDescent="0.25">
      <c r="B157" s="117" t="s">
        <v>688</v>
      </c>
      <c r="C157" s="136" t="s">
        <v>689</v>
      </c>
      <c r="D157" s="14" t="s">
        <v>24</v>
      </c>
      <c r="E157" s="14" t="s">
        <v>16</v>
      </c>
      <c r="F157" s="15">
        <v>45013</v>
      </c>
      <c r="G157" s="16">
        <v>0.87</v>
      </c>
      <c r="H157" s="15">
        <v>45114</v>
      </c>
      <c r="I157" s="16">
        <f>0.8439+0.0362</f>
        <v>0.88009999999999999</v>
      </c>
      <c r="J157" s="15"/>
      <c r="K157" s="16"/>
      <c r="L157" s="15"/>
      <c r="M157" s="63"/>
      <c r="N157" s="17"/>
      <c r="O157" s="16"/>
      <c r="P157" s="16"/>
      <c r="Q157" s="152">
        <f t="shared" si="24"/>
        <v>0</v>
      </c>
      <c r="R157" s="152">
        <f t="shared" si="25"/>
        <v>0.87</v>
      </c>
      <c r="S157" s="152">
        <f t="shared" si="26"/>
        <v>1.7501</v>
      </c>
      <c r="T157" s="18">
        <f t="shared" si="27"/>
        <v>1.7501</v>
      </c>
    </row>
    <row r="158" spans="2:20" x14ac:dyDescent="0.25">
      <c r="B158" s="117" t="s">
        <v>861</v>
      </c>
      <c r="C158" s="136" t="s">
        <v>862</v>
      </c>
      <c r="D158" s="14" t="s">
        <v>15</v>
      </c>
      <c r="E158" s="14" t="s">
        <v>16</v>
      </c>
      <c r="F158" s="15">
        <v>44986</v>
      </c>
      <c r="G158" s="16">
        <v>1.75</v>
      </c>
      <c r="H158" s="15"/>
      <c r="I158" s="16"/>
      <c r="J158" s="15"/>
      <c r="K158" s="16"/>
      <c r="L158" s="15"/>
      <c r="M158" s="63"/>
      <c r="N158" s="17"/>
      <c r="O158" s="16"/>
      <c r="P158" s="16"/>
      <c r="Q158" s="152">
        <f t="shared" si="24"/>
        <v>1.75</v>
      </c>
      <c r="R158" s="152">
        <f t="shared" si="25"/>
        <v>1.75</v>
      </c>
      <c r="S158" s="152">
        <f t="shared" si="26"/>
        <v>1.75</v>
      </c>
      <c r="T158" s="18">
        <f t="shared" si="27"/>
        <v>1.75</v>
      </c>
    </row>
    <row r="159" spans="2:20" x14ac:dyDescent="0.25">
      <c r="B159" s="117" t="s">
        <v>296</v>
      </c>
      <c r="C159" s="136" t="s">
        <v>297</v>
      </c>
      <c r="D159" s="14" t="s">
        <v>15</v>
      </c>
      <c r="E159" s="14" t="s">
        <v>16</v>
      </c>
      <c r="F159" s="15">
        <v>45030</v>
      </c>
      <c r="G159" s="16">
        <v>9.5000000000000001E-2</v>
      </c>
      <c r="H159" s="15">
        <v>45133</v>
      </c>
      <c r="I159" s="16">
        <v>5.1999999999999998E-2</v>
      </c>
      <c r="J159" s="15"/>
      <c r="K159" s="16"/>
      <c r="L159" s="15"/>
      <c r="M159" s="63"/>
      <c r="N159" s="17"/>
      <c r="O159" s="16"/>
      <c r="P159" s="47"/>
      <c r="Q159" s="152">
        <f t="shared" si="24"/>
        <v>0</v>
      </c>
      <c r="R159" s="152">
        <f t="shared" si="25"/>
        <v>9.5000000000000001E-2</v>
      </c>
      <c r="S159" s="152">
        <f t="shared" si="26"/>
        <v>0.14699999999999999</v>
      </c>
      <c r="T159" s="18">
        <f t="shared" si="27"/>
        <v>0.14699999999999999</v>
      </c>
    </row>
    <row r="160" spans="2:20" x14ac:dyDescent="0.25">
      <c r="B160" s="117" t="s">
        <v>768</v>
      </c>
      <c r="C160" s="136" t="s">
        <v>299</v>
      </c>
      <c r="D160" s="14" t="s">
        <v>15</v>
      </c>
      <c r="E160" s="14" t="s">
        <v>21</v>
      </c>
      <c r="F160" s="15">
        <v>45055</v>
      </c>
      <c r="G160" s="16">
        <v>2.5</v>
      </c>
      <c r="H160" s="15"/>
      <c r="I160" s="16"/>
      <c r="J160" s="15"/>
      <c r="K160" s="16"/>
      <c r="L160" s="15"/>
      <c r="M160" s="63"/>
      <c r="N160" s="17"/>
      <c r="O160" s="16"/>
      <c r="P160" s="16"/>
      <c r="Q160" s="152">
        <f t="shared" si="24"/>
        <v>0</v>
      </c>
      <c r="R160" s="152">
        <f t="shared" si="25"/>
        <v>2.5</v>
      </c>
      <c r="S160" s="152">
        <f t="shared" si="26"/>
        <v>2.5</v>
      </c>
      <c r="T160" s="18">
        <f t="shared" si="27"/>
        <v>2.5</v>
      </c>
    </row>
    <row r="161" spans="2:20" x14ac:dyDescent="0.25">
      <c r="B161" s="117" t="s">
        <v>302</v>
      </c>
      <c r="C161" s="136" t="s">
        <v>303</v>
      </c>
      <c r="D161" s="14" t="s">
        <v>15</v>
      </c>
      <c r="E161" s="14" t="s">
        <v>761</v>
      </c>
      <c r="F161" s="15">
        <v>45043</v>
      </c>
      <c r="G161" s="16">
        <v>13.93</v>
      </c>
      <c r="H161" s="15">
        <v>45162</v>
      </c>
      <c r="I161" s="16">
        <v>5.71</v>
      </c>
      <c r="J161" s="15"/>
      <c r="K161" s="16"/>
      <c r="L161" s="15"/>
      <c r="M161" s="63"/>
      <c r="N161" s="17"/>
      <c r="O161" s="16"/>
      <c r="P161" s="16"/>
      <c r="Q161" s="152">
        <f t="shared" si="24"/>
        <v>0</v>
      </c>
      <c r="R161" s="152">
        <f t="shared" si="25"/>
        <v>13.93</v>
      </c>
      <c r="S161" s="152">
        <f t="shared" si="26"/>
        <v>19.64</v>
      </c>
      <c r="T161" s="18">
        <f t="shared" si="27"/>
        <v>19.64</v>
      </c>
    </row>
    <row r="162" spans="2:20" x14ac:dyDescent="0.25">
      <c r="B162" s="117" t="s">
        <v>304</v>
      </c>
      <c r="C162" s="136" t="s">
        <v>305</v>
      </c>
      <c r="D162" s="14" t="s">
        <v>24</v>
      </c>
      <c r="E162" s="14" t="s">
        <v>16</v>
      </c>
      <c r="F162" s="15">
        <v>45079</v>
      </c>
      <c r="G162" s="16">
        <v>1.9</v>
      </c>
      <c r="H162" s="15"/>
      <c r="I162" s="16"/>
      <c r="J162" s="15"/>
      <c r="K162" s="16"/>
      <c r="L162" s="15"/>
      <c r="M162" s="63"/>
      <c r="N162" s="17"/>
      <c r="O162" s="16"/>
      <c r="P162" s="16"/>
      <c r="Q162" s="152">
        <f t="shared" si="24"/>
        <v>0</v>
      </c>
      <c r="R162" s="152">
        <f t="shared" si="25"/>
        <v>1.9</v>
      </c>
      <c r="S162" s="152">
        <f t="shared" si="26"/>
        <v>1.9</v>
      </c>
      <c r="T162" s="18">
        <f t="shared" si="27"/>
        <v>1.9</v>
      </c>
    </row>
    <row r="163" spans="2:20" x14ac:dyDescent="0.25">
      <c r="B163" s="117" t="s">
        <v>308</v>
      </c>
      <c r="C163" s="136" t="s">
        <v>309</v>
      </c>
      <c r="D163" s="14" t="s">
        <v>15</v>
      </c>
      <c r="E163" s="14" t="s">
        <v>761</v>
      </c>
      <c r="F163" s="15">
        <v>45029</v>
      </c>
      <c r="G163" s="16">
        <v>1.6</v>
      </c>
      <c r="H163" s="15">
        <v>45141</v>
      </c>
      <c r="I163" s="16">
        <v>0.92</v>
      </c>
      <c r="J163" s="15"/>
      <c r="K163" s="16"/>
      <c r="L163" s="15"/>
      <c r="M163" s="63"/>
      <c r="N163" s="17"/>
      <c r="O163" s="16"/>
      <c r="P163" s="16"/>
      <c r="Q163" s="152">
        <f t="shared" si="24"/>
        <v>0</v>
      </c>
      <c r="R163" s="152">
        <f t="shared" si="25"/>
        <v>1.6</v>
      </c>
      <c r="S163" s="152">
        <f t="shared" si="26"/>
        <v>2.52</v>
      </c>
      <c r="T163" s="18">
        <f t="shared" si="27"/>
        <v>2.52</v>
      </c>
    </row>
    <row r="164" spans="2:20" x14ac:dyDescent="0.25">
      <c r="B164" s="117" t="s">
        <v>877</v>
      </c>
      <c r="C164" s="136" t="s">
        <v>875</v>
      </c>
      <c r="D164" s="14" t="s">
        <v>15</v>
      </c>
      <c r="E164" s="14" t="s">
        <v>21</v>
      </c>
      <c r="F164" s="15">
        <v>45194</v>
      </c>
      <c r="G164" s="16">
        <v>1.06</v>
      </c>
      <c r="H164" s="15"/>
      <c r="I164" s="16"/>
      <c r="J164" s="15"/>
      <c r="K164" s="16"/>
      <c r="L164" s="15"/>
      <c r="M164" s="63"/>
      <c r="N164" s="17"/>
      <c r="O164" s="16"/>
      <c r="P164" s="16"/>
      <c r="Q164" s="152">
        <f t="shared" si="24"/>
        <v>0</v>
      </c>
      <c r="R164" s="152">
        <f t="shared" si="25"/>
        <v>0</v>
      </c>
      <c r="S164" s="152">
        <f t="shared" si="26"/>
        <v>0</v>
      </c>
      <c r="T164" s="18">
        <f t="shared" si="27"/>
        <v>1.06</v>
      </c>
    </row>
    <row r="165" spans="2:20" x14ac:dyDescent="0.25">
      <c r="B165" s="117" t="s">
        <v>876</v>
      </c>
      <c r="C165" s="136" t="s">
        <v>878</v>
      </c>
      <c r="D165" s="14" t="s">
        <v>15</v>
      </c>
      <c r="E165" s="14" t="s">
        <v>21</v>
      </c>
      <c r="F165" s="15">
        <v>45055</v>
      </c>
      <c r="G165" s="16">
        <v>3.5</v>
      </c>
      <c r="H165" s="15"/>
      <c r="I165" s="16"/>
      <c r="J165" s="15"/>
      <c r="K165" s="16"/>
      <c r="L165" s="15"/>
      <c r="M165" s="63"/>
      <c r="N165" s="17"/>
      <c r="O165" s="16"/>
      <c r="P165" s="16"/>
      <c r="Q165" s="152">
        <f t="shared" si="24"/>
        <v>0</v>
      </c>
      <c r="R165" s="152">
        <f t="shared" si="25"/>
        <v>3.5</v>
      </c>
      <c r="S165" s="152">
        <f t="shared" si="26"/>
        <v>3.5</v>
      </c>
      <c r="T165" s="18">
        <f t="shared" si="27"/>
        <v>3.5</v>
      </c>
    </row>
    <row r="166" spans="2:20" x14ac:dyDescent="0.25">
      <c r="B166" s="117" t="s">
        <v>310</v>
      </c>
      <c r="C166" s="136" t="s">
        <v>311</v>
      </c>
      <c r="D166" s="14" t="s">
        <v>24</v>
      </c>
      <c r="E166" s="14" t="s">
        <v>16</v>
      </c>
      <c r="F166" s="15">
        <v>45042</v>
      </c>
      <c r="G166" s="16">
        <v>6</v>
      </c>
      <c r="H166" s="15"/>
      <c r="I166" s="16"/>
      <c r="J166" s="15"/>
      <c r="K166" s="16"/>
      <c r="L166" s="15"/>
      <c r="M166" s="63"/>
      <c r="N166" s="17"/>
      <c r="O166" s="16"/>
      <c r="P166" s="16"/>
      <c r="Q166" s="152">
        <f t="shared" si="24"/>
        <v>0</v>
      </c>
      <c r="R166" s="152">
        <f t="shared" si="25"/>
        <v>6</v>
      </c>
      <c r="S166" s="152">
        <f t="shared" si="26"/>
        <v>6</v>
      </c>
      <c r="T166" s="18">
        <f t="shared" si="27"/>
        <v>6</v>
      </c>
    </row>
    <row r="167" spans="2:20" x14ac:dyDescent="0.25">
      <c r="B167" s="117" t="s">
        <v>312</v>
      </c>
      <c r="C167" s="136" t="s">
        <v>313</v>
      </c>
      <c r="D167" s="14" t="s">
        <v>24</v>
      </c>
      <c r="E167" s="14" t="s">
        <v>16</v>
      </c>
      <c r="F167" s="15">
        <v>45041</v>
      </c>
      <c r="G167" s="16">
        <v>7</v>
      </c>
      <c r="H167" s="15">
        <v>45264</v>
      </c>
      <c r="I167" s="16">
        <v>5.5</v>
      </c>
      <c r="J167" s="15"/>
      <c r="K167" s="16"/>
      <c r="L167" s="15"/>
      <c r="M167" s="63"/>
      <c r="N167" s="17"/>
      <c r="O167" s="16"/>
      <c r="P167" s="16"/>
      <c r="Q167" s="152">
        <f t="shared" si="24"/>
        <v>0</v>
      </c>
      <c r="R167" s="152">
        <f t="shared" si="25"/>
        <v>7</v>
      </c>
      <c r="S167" s="152">
        <f t="shared" si="26"/>
        <v>7</v>
      </c>
      <c r="T167" s="18">
        <f t="shared" si="27"/>
        <v>12.5</v>
      </c>
    </row>
    <row r="168" spans="2:20" x14ac:dyDescent="0.25">
      <c r="B168" s="117" t="s">
        <v>314</v>
      </c>
      <c r="C168" s="136" t="s">
        <v>315</v>
      </c>
      <c r="D168" s="14" t="s">
        <v>15</v>
      </c>
      <c r="E168" s="14" t="s">
        <v>16</v>
      </c>
      <c r="F168" s="15">
        <v>45068</v>
      </c>
      <c r="G168" s="16">
        <v>8.5500000000000007E-2</v>
      </c>
      <c r="H168" s="15">
        <v>45258</v>
      </c>
      <c r="I168" s="16">
        <v>6.0299999999999999E-2</v>
      </c>
      <c r="J168" s="15"/>
      <c r="K168" s="16"/>
      <c r="L168" s="15"/>
      <c r="M168" s="63"/>
      <c r="N168" s="17"/>
      <c r="O168" s="16"/>
      <c r="P168" s="16"/>
      <c r="Q168" s="152">
        <f t="shared" si="24"/>
        <v>0</v>
      </c>
      <c r="R168" s="152">
        <f t="shared" si="25"/>
        <v>8.5500000000000007E-2</v>
      </c>
      <c r="S168" s="152">
        <f t="shared" si="26"/>
        <v>8.5500000000000007E-2</v>
      </c>
      <c r="T168" s="18">
        <f t="shared" si="27"/>
        <v>0.14580000000000001</v>
      </c>
    </row>
    <row r="169" spans="2:20" x14ac:dyDescent="0.25">
      <c r="B169" s="117" t="s">
        <v>934</v>
      </c>
      <c r="C169" s="136" t="s">
        <v>917</v>
      </c>
      <c r="D169" s="39" t="s">
        <v>755</v>
      </c>
      <c r="E169" s="39" t="s">
        <v>16</v>
      </c>
      <c r="F169" s="15">
        <v>45050</v>
      </c>
      <c r="G169" s="16">
        <v>0.15</v>
      </c>
      <c r="H169" s="15">
        <v>45226</v>
      </c>
      <c r="I169" s="16">
        <v>0.15</v>
      </c>
      <c r="J169" s="15"/>
      <c r="K169" s="16"/>
      <c r="L169" s="15"/>
      <c r="M169" s="63"/>
      <c r="N169" s="17"/>
      <c r="O169" s="16"/>
      <c r="P169" s="16"/>
      <c r="Q169" s="152">
        <f t="shared" ref="Q169" si="28">IF(F169&lt;=Exp23Q1,G169,0)+IF(H169&lt;=Exp23Q1,I169,0)+IF(J169&lt;=Exp23Q1,K169,0)+IF(L169&lt;=Exp23Q1,M169,0)+IF(N169&lt;=Exp23Q1,O169,0)</f>
        <v>0</v>
      </c>
      <c r="R169" s="152">
        <f t="shared" ref="R169" si="29">IF(F169&lt;=Exp23H1,G169,0)+IF(H169&lt;=Exp23H1,I169,0)+IF(J169&lt;=Exp23H1,K169,0)+IF(L169&lt;=Exp23H1,M169,0)+IF(N169&lt;=Exp23H1,O169,0)</f>
        <v>0.15</v>
      </c>
      <c r="S169" s="152">
        <f t="shared" ref="S169" si="30">IF(F169&lt;=Exp23Q3,G169,0)+IF(H169&lt;=Exp23Q3,I169,0)+IF(J169&lt;=Exp23Q3,K169,0)+IF(L169&lt;=Exp23Q3,M169,0)+IF(N169&lt;=Exp23Q3,O169,0)</f>
        <v>0.15</v>
      </c>
      <c r="T169" s="18">
        <f t="shared" ref="T169" si="31">G169+I169+K169+M169+O169</f>
        <v>0.3</v>
      </c>
    </row>
    <row r="170" spans="2:20" x14ac:dyDescent="0.25">
      <c r="B170" s="117" t="s">
        <v>322</v>
      </c>
      <c r="C170" s="136" t="s">
        <v>323</v>
      </c>
      <c r="D170" s="14" t="s">
        <v>15</v>
      </c>
      <c r="E170" s="14" t="s">
        <v>16</v>
      </c>
      <c r="F170" s="15">
        <v>45048</v>
      </c>
      <c r="G170" s="16">
        <v>2.2000000000000002</v>
      </c>
      <c r="H170" s="15"/>
      <c r="I170" s="16"/>
      <c r="J170" s="15"/>
      <c r="K170" s="16"/>
      <c r="L170" s="15"/>
      <c r="M170" s="63"/>
      <c r="N170" s="17"/>
      <c r="O170" s="16"/>
      <c r="P170" s="16"/>
      <c r="Q170" s="152">
        <f t="shared" si="24"/>
        <v>0</v>
      </c>
      <c r="R170" s="152">
        <f t="shared" si="25"/>
        <v>2.2000000000000002</v>
      </c>
      <c r="S170" s="152">
        <f t="shared" si="26"/>
        <v>2.2000000000000002</v>
      </c>
      <c r="T170" s="18">
        <f t="shared" si="27"/>
        <v>2.2000000000000002</v>
      </c>
    </row>
    <row r="171" spans="2:20" x14ac:dyDescent="0.25">
      <c r="B171" s="117" t="s">
        <v>610</v>
      </c>
      <c r="C171" s="136" t="s">
        <v>326</v>
      </c>
      <c r="D171" s="45" t="s">
        <v>15</v>
      </c>
      <c r="E171" s="45" t="s">
        <v>16</v>
      </c>
      <c r="F171" s="15"/>
      <c r="G171" s="16"/>
      <c r="H171" s="15"/>
      <c r="I171" s="16"/>
      <c r="J171" s="15"/>
      <c r="K171" s="16"/>
      <c r="L171" s="15"/>
      <c r="M171" s="63"/>
      <c r="N171" s="17"/>
      <c r="O171" s="16"/>
      <c r="P171" s="16"/>
      <c r="Q171" s="152">
        <f t="shared" si="24"/>
        <v>0</v>
      </c>
      <c r="R171" s="152">
        <f t="shared" si="25"/>
        <v>0</v>
      </c>
      <c r="S171" s="152">
        <f t="shared" si="26"/>
        <v>0</v>
      </c>
      <c r="T171" s="18">
        <f t="shared" si="27"/>
        <v>0</v>
      </c>
    </row>
    <row r="172" spans="2:20" x14ac:dyDescent="0.25">
      <c r="B172" s="117" t="s">
        <v>773</v>
      </c>
      <c r="C172" s="136" t="s">
        <v>774</v>
      </c>
      <c r="D172" s="45" t="s">
        <v>24</v>
      </c>
      <c r="E172" s="45" t="s">
        <v>16</v>
      </c>
      <c r="F172" s="15">
        <v>45061</v>
      </c>
      <c r="G172" s="16">
        <v>2.1</v>
      </c>
      <c r="H172" s="15"/>
      <c r="I172" s="16"/>
      <c r="J172" s="15"/>
      <c r="K172" s="16"/>
      <c r="L172" s="15"/>
      <c r="M172" s="63"/>
      <c r="N172" s="17"/>
      <c r="O172" s="16"/>
      <c r="P172" s="16"/>
      <c r="Q172" s="152">
        <f t="shared" si="24"/>
        <v>0</v>
      </c>
      <c r="R172" s="152">
        <f t="shared" si="25"/>
        <v>2.1</v>
      </c>
      <c r="S172" s="152">
        <f t="shared" si="26"/>
        <v>2.1</v>
      </c>
      <c r="T172" s="18">
        <f t="shared" si="27"/>
        <v>2.1</v>
      </c>
    </row>
    <row r="173" spans="2:20" x14ac:dyDescent="0.25">
      <c r="B173" s="117" t="s">
        <v>329</v>
      </c>
      <c r="C173" s="136" t="s">
        <v>330</v>
      </c>
      <c r="D173" s="14" t="s">
        <v>24</v>
      </c>
      <c r="E173" s="14" t="s">
        <v>16</v>
      </c>
      <c r="F173" s="15">
        <v>45063</v>
      </c>
      <c r="G173" s="16">
        <v>1.25</v>
      </c>
      <c r="H173" s="15"/>
      <c r="I173" s="16"/>
      <c r="J173" s="15"/>
      <c r="K173" s="16"/>
      <c r="L173" s="15"/>
      <c r="M173" s="63"/>
      <c r="N173" s="17"/>
      <c r="O173" s="16"/>
      <c r="P173" s="16"/>
      <c r="Q173" s="152">
        <f t="shared" si="24"/>
        <v>0</v>
      </c>
      <c r="R173" s="152">
        <f t="shared" si="25"/>
        <v>1.25</v>
      </c>
      <c r="S173" s="152">
        <f t="shared" si="26"/>
        <v>1.25</v>
      </c>
      <c r="T173" s="18">
        <f t="shared" si="27"/>
        <v>1.25</v>
      </c>
    </row>
    <row r="174" spans="2:20" x14ac:dyDescent="0.25">
      <c r="B174" s="117" t="s">
        <v>779</v>
      </c>
      <c r="C174" s="136" t="s">
        <v>780</v>
      </c>
      <c r="D174" s="14" t="s">
        <v>755</v>
      </c>
      <c r="E174" s="14" t="s">
        <v>475</v>
      </c>
      <c r="F174" s="15">
        <v>44981</v>
      </c>
      <c r="G174" s="16">
        <v>1.7</v>
      </c>
      <c r="H174" s="15">
        <v>45065</v>
      </c>
      <c r="I174" s="16">
        <v>2</v>
      </c>
      <c r="J174" s="15">
        <v>45170</v>
      </c>
      <c r="K174" s="16">
        <v>2</v>
      </c>
      <c r="L174" s="15">
        <v>45247</v>
      </c>
      <c r="M174" s="63">
        <v>1.5</v>
      </c>
      <c r="N174" s="17"/>
      <c r="O174" s="16"/>
      <c r="P174" s="16"/>
      <c r="Q174" s="152">
        <f t="shared" si="24"/>
        <v>1.7</v>
      </c>
      <c r="R174" s="152">
        <f t="shared" si="25"/>
        <v>3.7</v>
      </c>
      <c r="S174" s="152">
        <f t="shared" si="26"/>
        <v>5.7</v>
      </c>
      <c r="T174" s="18">
        <f t="shared" si="27"/>
        <v>7.2</v>
      </c>
    </row>
    <row r="175" spans="2:20" x14ac:dyDescent="0.25">
      <c r="B175" s="117" t="s">
        <v>885</v>
      </c>
      <c r="C175" s="136" t="s">
        <v>334</v>
      </c>
      <c r="D175" s="14" t="s">
        <v>15</v>
      </c>
      <c r="E175" s="14" t="s">
        <v>16</v>
      </c>
      <c r="F175" s="15">
        <v>45054</v>
      </c>
      <c r="G175" s="16">
        <v>11.6</v>
      </c>
      <c r="H175" s="15"/>
      <c r="I175" s="16"/>
      <c r="J175" s="15"/>
      <c r="K175" s="16"/>
      <c r="L175" s="15"/>
      <c r="M175" s="63"/>
      <c r="N175" s="17"/>
      <c r="O175" s="16"/>
      <c r="P175" s="16"/>
      <c r="Q175" s="152">
        <f t="shared" si="24"/>
        <v>0</v>
      </c>
      <c r="R175" s="152">
        <f t="shared" si="25"/>
        <v>11.6</v>
      </c>
      <c r="S175" s="152">
        <f t="shared" si="26"/>
        <v>11.6</v>
      </c>
      <c r="T175" s="18">
        <f t="shared" si="27"/>
        <v>11.6</v>
      </c>
    </row>
    <row r="176" spans="2:20" x14ac:dyDescent="0.25">
      <c r="B176" s="117" t="s">
        <v>335</v>
      </c>
      <c r="C176" s="136" t="s">
        <v>336</v>
      </c>
      <c r="D176" s="14" t="s">
        <v>15</v>
      </c>
      <c r="E176" s="14" t="s">
        <v>761</v>
      </c>
      <c r="F176" s="15">
        <v>45078</v>
      </c>
      <c r="G176" s="16">
        <v>37.6</v>
      </c>
      <c r="H176" s="15">
        <v>45253</v>
      </c>
      <c r="I176" s="16">
        <v>19.399999999999999</v>
      </c>
      <c r="J176" s="15"/>
      <c r="K176" s="16"/>
      <c r="L176" s="15"/>
      <c r="M176" s="63"/>
      <c r="N176" s="17"/>
      <c r="O176" s="16"/>
      <c r="P176" s="16"/>
      <c r="Q176" s="152">
        <f t="shared" si="24"/>
        <v>0</v>
      </c>
      <c r="R176" s="152">
        <f t="shared" si="25"/>
        <v>37.6</v>
      </c>
      <c r="S176" s="152">
        <f t="shared" si="26"/>
        <v>37.6</v>
      </c>
      <c r="T176" s="18">
        <f t="shared" si="27"/>
        <v>57</v>
      </c>
    </row>
    <row r="177" spans="2:20" x14ac:dyDescent="0.25">
      <c r="B177" s="117" t="s">
        <v>339</v>
      </c>
      <c r="C177" s="136" t="s">
        <v>340</v>
      </c>
      <c r="D177" s="14" t="s">
        <v>15</v>
      </c>
      <c r="E177" s="14" t="s">
        <v>16</v>
      </c>
      <c r="F177" s="153">
        <v>45014</v>
      </c>
      <c r="G177" s="154">
        <f>0.51*0.99443579*0.9920534</f>
        <v>0.5031320373411049</v>
      </c>
      <c r="H177" s="153">
        <v>45197</v>
      </c>
      <c r="I177" s="154">
        <f>0.51*0.9920534</f>
        <v>0.50594723399999997</v>
      </c>
      <c r="J177" s="15"/>
      <c r="K177" s="16"/>
      <c r="L177" s="15"/>
      <c r="M177" s="63"/>
      <c r="N177" s="17"/>
      <c r="O177" s="16"/>
      <c r="P177" s="41"/>
      <c r="Q177" s="152">
        <f t="shared" si="24"/>
        <v>0</v>
      </c>
      <c r="R177" s="152">
        <f t="shared" si="25"/>
        <v>0.5031320373411049</v>
      </c>
      <c r="S177" s="152">
        <f t="shared" si="26"/>
        <v>0.5031320373411049</v>
      </c>
      <c r="T177" s="18">
        <f t="shared" si="27"/>
        <v>1.009079271341105</v>
      </c>
    </row>
    <row r="178" spans="2:20" x14ac:dyDescent="0.25">
      <c r="B178" s="117" t="s">
        <v>341</v>
      </c>
      <c r="C178" s="136" t="s">
        <v>342</v>
      </c>
      <c r="D178" s="14" t="s">
        <v>15</v>
      </c>
      <c r="E178" s="14" t="s">
        <v>21</v>
      </c>
      <c r="F178" s="15">
        <v>45040</v>
      </c>
      <c r="G178" s="16">
        <v>2.95</v>
      </c>
      <c r="H178" s="15"/>
      <c r="I178" s="16"/>
      <c r="J178" s="15"/>
      <c r="K178" s="16"/>
      <c r="L178" s="15"/>
      <c r="M178" s="63"/>
      <c r="N178" s="17"/>
      <c r="O178" s="16"/>
      <c r="P178" s="16"/>
      <c r="Q178" s="152">
        <f t="shared" si="24"/>
        <v>0</v>
      </c>
      <c r="R178" s="152">
        <f t="shared" si="25"/>
        <v>2.95</v>
      </c>
      <c r="S178" s="152">
        <f t="shared" si="26"/>
        <v>2.95</v>
      </c>
      <c r="T178" s="18">
        <f t="shared" si="27"/>
        <v>2.95</v>
      </c>
    </row>
    <row r="179" spans="2:20" x14ac:dyDescent="0.25">
      <c r="B179" s="117" t="s">
        <v>343</v>
      </c>
      <c r="C179" s="136" t="s">
        <v>344</v>
      </c>
      <c r="D179" s="14" t="s">
        <v>15</v>
      </c>
      <c r="E179" s="14" t="s">
        <v>16</v>
      </c>
      <c r="F179" s="15">
        <v>45083</v>
      </c>
      <c r="G179" s="16">
        <v>1.79</v>
      </c>
      <c r="H179" s="15">
        <v>45169</v>
      </c>
      <c r="I179" s="16">
        <v>1.1200000000000001</v>
      </c>
      <c r="J179" s="15"/>
      <c r="K179" s="16"/>
      <c r="L179" s="15"/>
      <c r="M179" s="63"/>
      <c r="N179" s="17"/>
      <c r="O179" s="16"/>
      <c r="P179" s="16"/>
      <c r="Q179" s="152">
        <f t="shared" si="24"/>
        <v>0</v>
      </c>
      <c r="R179" s="152">
        <f t="shared" si="25"/>
        <v>1.79</v>
      </c>
      <c r="S179" s="152">
        <f t="shared" si="26"/>
        <v>2.91</v>
      </c>
      <c r="T179" s="18">
        <f t="shared" si="27"/>
        <v>2.91</v>
      </c>
    </row>
    <row r="180" spans="2:20" x14ac:dyDescent="0.25">
      <c r="B180" s="117" t="s">
        <v>345</v>
      </c>
      <c r="C180" s="136" t="s">
        <v>346</v>
      </c>
      <c r="D180" s="14" t="s">
        <v>15</v>
      </c>
      <c r="E180" s="14" t="s">
        <v>16</v>
      </c>
      <c r="F180" s="15">
        <v>44956</v>
      </c>
      <c r="G180" s="16">
        <v>0.02</v>
      </c>
      <c r="H180" s="15">
        <v>45040</v>
      </c>
      <c r="I180" s="16">
        <v>0.03</v>
      </c>
      <c r="J180" s="15">
        <v>45131</v>
      </c>
      <c r="K180" s="16">
        <v>0.03</v>
      </c>
      <c r="L180" s="15">
        <v>45222</v>
      </c>
      <c r="M180" s="63">
        <v>0.03</v>
      </c>
      <c r="N180" s="17"/>
      <c r="O180" s="16"/>
      <c r="P180" s="47"/>
      <c r="Q180" s="152">
        <f t="shared" si="24"/>
        <v>0.02</v>
      </c>
      <c r="R180" s="152">
        <f t="shared" si="25"/>
        <v>0.05</v>
      </c>
      <c r="S180" s="152">
        <f t="shared" si="26"/>
        <v>0.08</v>
      </c>
      <c r="T180" s="18">
        <f t="shared" si="27"/>
        <v>0.11</v>
      </c>
    </row>
    <row r="181" spans="2:20" x14ac:dyDescent="0.25">
      <c r="B181" s="117" t="s">
        <v>756</v>
      </c>
      <c r="C181" s="136" t="s">
        <v>757</v>
      </c>
      <c r="D181" s="14" t="s">
        <v>15</v>
      </c>
      <c r="E181" s="14" t="s">
        <v>16</v>
      </c>
      <c r="F181" s="15">
        <v>45043</v>
      </c>
      <c r="G181" s="16">
        <v>0.35</v>
      </c>
      <c r="H181" s="15">
        <v>45231</v>
      </c>
      <c r="I181" s="16">
        <v>0.2</v>
      </c>
      <c r="J181" s="15"/>
      <c r="K181" s="16"/>
      <c r="L181" s="15"/>
      <c r="M181" s="63"/>
      <c r="N181" s="17"/>
      <c r="O181" s="16"/>
      <c r="P181" s="47"/>
      <c r="Q181" s="152">
        <f t="shared" si="24"/>
        <v>0</v>
      </c>
      <c r="R181" s="152">
        <f t="shared" si="25"/>
        <v>0.35</v>
      </c>
      <c r="S181" s="152">
        <f t="shared" si="26"/>
        <v>0.35</v>
      </c>
      <c r="T181" s="18">
        <f t="shared" si="27"/>
        <v>0.55000000000000004</v>
      </c>
    </row>
    <row r="182" spans="2:20" x14ac:dyDescent="0.25">
      <c r="B182" s="117" t="s">
        <v>347</v>
      </c>
      <c r="C182" s="136" t="s">
        <v>348</v>
      </c>
      <c r="D182" s="14" t="s">
        <v>15</v>
      </c>
      <c r="E182" s="14" t="s">
        <v>16</v>
      </c>
      <c r="F182" s="15">
        <v>45009</v>
      </c>
      <c r="G182" s="16">
        <v>0.8</v>
      </c>
      <c r="H182" s="15"/>
      <c r="I182" s="16"/>
      <c r="J182" s="15"/>
      <c r="K182" s="16"/>
      <c r="L182" s="15"/>
      <c r="M182" s="63"/>
      <c r="N182" s="17"/>
      <c r="O182" s="16"/>
      <c r="P182" s="47"/>
      <c r="Q182" s="152">
        <f t="shared" si="24"/>
        <v>0</v>
      </c>
      <c r="R182" s="152">
        <f t="shared" si="25"/>
        <v>0.8</v>
      </c>
      <c r="S182" s="152">
        <f t="shared" si="26"/>
        <v>0.8</v>
      </c>
      <c r="T182" s="18">
        <f t="shared" si="27"/>
        <v>0.8</v>
      </c>
    </row>
    <row r="183" spans="2:20" x14ac:dyDescent="0.25">
      <c r="B183" s="117" t="s">
        <v>753</v>
      </c>
      <c r="C183" s="136" t="s">
        <v>754</v>
      </c>
      <c r="D183" s="14" t="s">
        <v>755</v>
      </c>
      <c r="E183" s="14" t="s">
        <v>475</v>
      </c>
      <c r="F183" s="15">
        <v>45057</v>
      </c>
      <c r="G183" s="16">
        <v>5.65</v>
      </c>
      <c r="H183" s="15"/>
      <c r="I183" s="16"/>
      <c r="J183" s="15"/>
      <c r="K183" s="16"/>
      <c r="L183" s="15"/>
      <c r="M183" s="63"/>
      <c r="N183" s="17"/>
      <c r="O183" s="16"/>
      <c r="P183" s="47"/>
      <c r="Q183" s="152">
        <f t="shared" si="24"/>
        <v>0</v>
      </c>
      <c r="R183" s="152">
        <f t="shared" si="25"/>
        <v>5.65</v>
      </c>
      <c r="S183" s="152">
        <f t="shared" si="26"/>
        <v>5.65</v>
      </c>
      <c r="T183" s="18">
        <f t="shared" si="27"/>
        <v>5.65</v>
      </c>
    </row>
    <row r="184" spans="2:20" x14ac:dyDescent="0.25">
      <c r="B184" s="117" t="s">
        <v>696</v>
      </c>
      <c r="C184" s="136" t="s">
        <v>350</v>
      </c>
      <c r="D184" s="14" t="s">
        <v>15</v>
      </c>
      <c r="E184" s="14" t="s">
        <v>21</v>
      </c>
      <c r="F184" s="15">
        <v>44994</v>
      </c>
      <c r="G184" s="16">
        <v>3.2</v>
      </c>
      <c r="H184" s="15"/>
      <c r="I184" s="16"/>
      <c r="J184" s="15"/>
      <c r="K184" s="16"/>
      <c r="L184" s="15"/>
      <c r="M184" s="63"/>
      <c r="N184" s="17"/>
      <c r="O184" s="16"/>
      <c r="P184" s="16"/>
      <c r="Q184" s="152">
        <f t="shared" si="24"/>
        <v>3.2</v>
      </c>
      <c r="R184" s="152">
        <f t="shared" si="25"/>
        <v>3.2</v>
      </c>
      <c r="S184" s="152">
        <f t="shared" si="26"/>
        <v>3.2</v>
      </c>
      <c r="T184" s="18">
        <f t="shared" si="27"/>
        <v>3.2</v>
      </c>
    </row>
    <row r="185" spans="2:20" x14ac:dyDescent="0.25">
      <c r="B185" s="117" t="s">
        <v>734</v>
      </c>
      <c r="C185" s="136" t="s">
        <v>735</v>
      </c>
      <c r="D185" s="14" t="s">
        <v>15</v>
      </c>
      <c r="E185" s="14" t="s">
        <v>16</v>
      </c>
      <c r="F185" s="153">
        <v>45083</v>
      </c>
      <c r="G185" s="154">
        <f>2.8*0.94537509</f>
        <v>2.6470502519999997</v>
      </c>
      <c r="H185" s="15"/>
      <c r="I185" s="16"/>
      <c r="J185" s="15"/>
      <c r="K185" s="16"/>
      <c r="L185" s="15"/>
      <c r="M185" s="63"/>
      <c r="N185" s="17"/>
      <c r="O185" s="16"/>
      <c r="P185" s="16"/>
      <c r="Q185" s="152">
        <f t="shared" si="24"/>
        <v>0</v>
      </c>
      <c r="R185" s="152">
        <f t="shared" si="25"/>
        <v>2.6470502519999997</v>
      </c>
      <c r="S185" s="152">
        <f t="shared" si="26"/>
        <v>2.6470502519999997</v>
      </c>
      <c r="T185" s="18">
        <f t="shared" si="27"/>
        <v>2.6470502519999997</v>
      </c>
    </row>
    <row r="186" spans="2:20" x14ac:dyDescent="0.25">
      <c r="B186" s="117" t="s">
        <v>353</v>
      </c>
      <c r="C186" s="136" t="s">
        <v>354</v>
      </c>
      <c r="D186" s="14" t="s">
        <v>24</v>
      </c>
      <c r="E186" s="14" t="s">
        <v>16</v>
      </c>
      <c r="F186" s="15">
        <v>45082</v>
      </c>
      <c r="G186" s="16">
        <v>0.4</v>
      </c>
      <c r="H186" s="15">
        <v>45264</v>
      </c>
      <c r="I186" s="16">
        <v>0.3</v>
      </c>
      <c r="J186" s="15"/>
      <c r="K186" s="16"/>
      <c r="L186" s="15"/>
      <c r="M186" s="63"/>
      <c r="N186" s="17"/>
      <c r="O186" s="16"/>
      <c r="P186" s="16"/>
      <c r="Q186" s="152">
        <f t="shared" si="24"/>
        <v>0</v>
      </c>
      <c r="R186" s="152">
        <f t="shared" si="25"/>
        <v>0.4</v>
      </c>
      <c r="S186" s="152">
        <f t="shared" si="26"/>
        <v>0.4</v>
      </c>
      <c r="T186" s="18">
        <f t="shared" si="27"/>
        <v>0.7</v>
      </c>
    </row>
    <row r="187" spans="2:20" x14ac:dyDescent="0.25">
      <c r="B187" s="117" t="s">
        <v>918</v>
      </c>
      <c r="C187" s="136" t="s">
        <v>352</v>
      </c>
      <c r="D187" s="14" t="s">
        <v>755</v>
      </c>
      <c r="E187" s="14" t="s">
        <v>475</v>
      </c>
      <c r="F187" s="15">
        <v>45030</v>
      </c>
      <c r="G187" s="16">
        <v>3</v>
      </c>
      <c r="H187" s="15"/>
      <c r="I187" s="16"/>
      <c r="J187" s="15"/>
      <c r="K187" s="16"/>
      <c r="L187" s="15"/>
      <c r="M187" s="63"/>
      <c r="N187" s="17"/>
      <c r="O187" s="16"/>
      <c r="P187" s="16"/>
      <c r="Q187" s="152">
        <f t="shared" ref="Q187" si="32">IF(F187&lt;=Exp23Q1,G187,0)+IF(H187&lt;=Exp23Q1,I187,0)+IF(J187&lt;=Exp23Q1,K187,0)+IF(L187&lt;=Exp23Q1,M187,0)+IF(N187&lt;=Exp23Q1,O187,0)</f>
        <v>0</v>
      </c>
      <c r="R187" s="152">
        <f t="shared" ref="R187" si="33">IF(F187&lt;=Exp23H1,G187,0)+IF(H187&lt;=Exp23H1,I187,0)+IF(J187&lt;=Exp23H1,K187,0)+IF(L187&lt;=Exp23H1,M187,0)+IF(N187&lt;=Exp23H1,O187,0)</f>
        <v>3</v>
      </c>
      <c r="S187" s="152">
        <f t="shared" ref="S187" si="34">IF(F187&lt;=Exp23Q3,G187,0)+IF(H187&lt;=Exp23Q3,I187,0)+IF(J187&lt;=Exp23Q3,K187,0)+IF(L187&lt;=Exp23Q3,M187,0)+IF(N187&lt;=Exp23Q3,O187,0)</f>
        <v>3</v>
      </c>
      <c r="T187" s="18">
        <f t="shared" ref="T187" si="35">G187+I187+K187+M187+O187</f>
        <v>3</v>
      </c>
    </row>
    <row r="188" spans="2:20" x14ac:dyDescent="0.25">
      <c r="B188" s="117" t="s">
        <v>881</v>
      </c>
      <c r="C188" s="136" t="s">
        <v>882</v>
      </c>
      <c r="D188" s="14" t="s">
        <v>15</v>
      </c>
      <c r="E188" s="14" t="s">
        <v>21</v>
      </c>
      <c r="F188" s="15">
        <v>45072</v>
      </c>
      <c r="G188" s="16">
        <v>37</v>
      </c>
      <c r="H188" s="15"/>
      <c r="I188" s="16"/>
      <c r="J188" s="15"/>
      <c r="K188" s="16"/>
      <c r="L188" s="15"/>
      <c r="M188" s="63"/>
      <c r="N188" s="17"/>
      <c r="O188" s="16"/>
      <c r="P188" s="16"/>
      <c r="Q188" s="152">
        <f t="shared" si="24"/>
        <v>0</v>
      </c>
      <c r="R188" s="152">
        <f t="shared" si="25"/>
        <v>37</v>
      </c>
      <c r="S188" s="152">
        <f t="shared" si="26"/>
        <v>37</v>
      </c>
      <c r="T188" s="18">
        <f t="shared" si="27"/>
        <v>37</v>
      </c>
    </row>
    <row r="189" spans="2:20" x14ac:dyDescent="0.25">
      <c r="B189" s="117" t="s">
        <v>357</v>
      </c>
      <c r="C189" s="136" t="s">
        <v>358</v>
      </c>
      <c r="D189" s="14" t="s">
        <v>15</v>
      </c>
      <c r="E189" s="14" t="s">
        <v>761</v>
      </c>
      <c r="F189" s="15">
        <v>45008</v>
      </c>
      <c r="G189" s="16">
        <v>14.9</v>
      </c>
      <c r="H189" s="15">
        <v>45148</v>
      </c>
      <c r="I189" s="16">
        <v>7</v>
      </c>
      <c r="J189" s="15"/>
      <c r="K189" s="16"/>
      <c r="L189" s="15"/>
      <c r="M189" s="63"/>
      <c r="N189" s="17"/>
      <c r="O189" s="16"/>
      <c r="P189" s="16"/>
      <c r="Q189" s="152">
        <f t="shared" si="24"/>
        <v>0</v>
      </c>
      <c r="R189" s="152">
        <f t="shared" si="25"/>
        <v>14.9</v>
      </c>
      <c r="S189" s="152">
        <f t="shared" si="26"/>
        <v>21.9</v>
      </c>
      <c r="T189" s="18">
        <f t="shared" si="27"/>
        <v>21.9</v>
      </c>
    </row>
    <row r="190" spans="2:20" x14ac:dyDescent="0.25">
      <c r="B190" s="117" t="s">
        <v>359</v>
      </c>
      <c r="C190" s="136" t="s">
        <v>360</v>
      </c>
      <c r="D190" s="14" t="s">
        <v>24</v>
      </c>
      <c r="E190" s="14" t="s">
        <v>16</v>
      </c>
      <c r="F190" s="15">
        <v>45112</v>
      </c>
      <c r="G190" s="16">
        <v>2.06</v>
      </c>
      <c r="H190" s="15">
        <v>45254</v>
      </c>
      <c r="I190" s="16">
        <v>2.64</v>
      </c>
      <c r="J190" s="15"/>
      <c r="K190" s="16"/>
      <c r="L190" s="15"/>
      <c r="M190" s="63"/>
      <c r="N190" s="17"/>
      <c r="O190" s="16"/>
      <c r="P190" s="16"/>
      <c r="Q190" s="152">
        <f t="shared" si="24"/>
        <v>0</v>
      </c>
      <c r="R190" s="152">
        <f t="shared" si="25"/>
        <v>0</v>
      </c>
      <c r="S190" s="152">
        <f t="shared" si="26"/>
        <v>2.06</v>
      </c>
      <c r="T190" s="18">
        <f t="shared" si="27"/>
        <v>4.7</v>
      </c>
    </row>
    <row r="191" spans="2:20" x14ac:dyDescent="0.25">
      <c r="B191" s="117" t="s">
        <v>366</v>
      </c>
      <c r="C191" s="136" t="s">
        <v>367</v>
      </c>
      <c r="D191" s="14" t="s">
        <v>15</v>
      </c>
      <c r="E191" s="14" t="s">
        <v>16</v>
      </c>
      <c r="F191" s="15">
        <v>45057</v>
      </c>
      <c r="G191" s="16">
        <v>0.85</v>
      </c>
      <c r="H191" s="15"/>
      <c r="I191" s="16"/>
      <c r="J191" s="15"/>
      <c r="K191" s="16"/>
      <c r="L191" s="15"/>
      <c r="M191" s="63"/>
      <c r="N191" s="17"/>
      <c r="O191" s="16"/>
      <c r="P191" s="16"/>
      <c r="Q191" s="152">
        <f t="shared" si="24"/>
        <v>0</v>
      </c>
      <c r="R191" s="152">
        <f t="shared" si="25"/>
        <v>0.85</v>
      </c>
      <c r="S191" s="152">
        <f t="shared" si="26"/>
        <v>0.85</v>
      </c>
      <c r="T191" s="18">
        <f t="shared" si="27"/>
        <v>0.85</v>
      </c>
    </row>
    <row r="192" spans="2:20" x14ac:dyDescent="0.25">
      <c r="B192" s="117" t="s">
        <v>890</v>
      </c>
      <c r="C192" s="136" t="s">
        <v>891</v>
      </c>
      <c r="D192" s="14" t="s">
        <v>15</v>
      </c>
      <c r="E192" s="14" t="s">
        <v>16</v>
      </c>
      <c r="F192" s="15">
        <v>45036</v>
      </c>
      <c r="G192" s="16">
        <v>0.02</v>
      </c>
      <c r="H192" s="15">
        <v>45147</v>
      </c>
      <c r="I192" s="16">
        <v>0.06</v>
      </c>
      <c r="J192" s="15"/>
      <c r="K192" s="16"/>
      <c r="L192" s="15"/>
      <c r="M192" s="63"/>
      <c r="N192" s="17"/>
      <c r="O192" s="16"/>
      <c r="P192" s="16"/>
      <c r="Q192" s="152">
        <f t="shared" si="24"/>
        <v>0</v>
      </c>
      <c r="R192" s="152">
        <f t="shared" si="25"/>
        <v>0.02</v>
      </c>
      <c r="S192" s="152">
        <f t="shared" si="26"/>
        <v>0.08</v>
      </c>
      <c r="T192" s="18">
        <f t="shared" si="27"/>
        <v>0.08</v>
      </c>
    </row>
    <row r="193" spans="2:20" x14ac:dyDescent="0.25">
      <c r="B193" s="117" t="s">
        <v>370</v>
      </c>
      <c r="C193" s="136" t="s">
        <v>721</v>
      </c>
      <c r="D193" s="14" t="s">
        <v>15</v>
      </c>
      <c r="E193" s="14" t="s">
        <v>56</v>
      </c>
      <c r="F193" s="15">
        <v>45008</v>
      </c>
      <c r="G193" s="16">
        <v>0.13039999999999999</v>
      </c>
      <c r="H193" s="15">
        <v>45176</v>
      </c>
      <c r="I193" s="16">
        <v>6.2600000000000003E-2</v>
      </c>
      <c r="J193" s="15"/>
      <c r="K193" s="16"/>
      <c r="L193" s="15"/>
      <c r="M193" s="63"/>
      <c r="N193" s="17"/>
      <c r="O193" s="16"/>
      <c r="P193" s="16"/>
      <c r="Q193" s="152">
        <f t="shared" ref="Q193:Q255" si="36">IF(F193&lt;=Exp23Q1,G193,0)+IF(H193&lt;=Exp23Q1,I193,0)+IF(J193&lt;=Exp23Q1,K193,0)+IF(L193&lt;=Exp23Q1,M193,0)+IF(N193&lt;=Exp23Q1,O193,0)</f>
        <v>0</v>
      </c>
      <c r="R193" s="152">
        <f t="shared" ref="R193:R255" si="37">IF(F193&lt;=Exp23H1,G193,0)+IF(H193&lt;=Exp23H1,I193,0)+IF(J193&lt;=Exp23H1,K193,0)+IF(L193&lt;=Exp23H1,M193,0)+IF(N193&lt;=Exp23H1,O193,0)</f>
        <v>0.13039999999999999</v>
      </c>
      <c r="S193" s="152">
        <f t="shared" ref="S193:S255" si="38">IF(F193&lt;=Exp23Q3,G193,0)+IF(H193&lt;=Exp23Q3,I193,0)+IF(J193&lt;=Exp23Q3,K193,0)+IF(L193&lt;=Exp23Q3,M193,0)+IF(N193&lt;=Exp23Q3,O193,0)</f>
        <v>0.193</v>
      </c>
      <c r="T193" s="18">
        <f t="shared" si="27"/>
        <v>0.193</v>
      </c>
    </row>
    <row r="194" spans="2:20" x14ac:dyDescent="0.25">
      <c r="B194" s="117" t="s">
        <v>758</v>
      </c>
      <c r="C194" s="136" t="s">
        <v>759</v>
      </c>
      <c r="D194" s="14" t="s">
        <v>15</v>
      </c>
      <c r="E194" s="14" t="s">
        <v>16</v>
      </c>
      <c r="F194" s="15">
        <v>45110</v>
      </c>
      <c r="G194" s="16">
        <v>0.05</v>
      </c>
      <c r="H194" s="15"/>
      <c r="I194" s="16"/>
      <c r="J194" s="15"/>
      <c r="K194" s="16"/>
      <c r="L194" s="15"/>
      <c r="M194" s="63"/>
      <c r="N194" s="17"/>
      <c r="O194" s="16"/>
      <c r="P194" s="16"/>
      <c r="Q194" s="152">
        <f t="shared" si="36"/>
        <v>0</v>
      </c>
      <c r="R194" s="152">
        <f t="shared" si="37"/>
        <v>0</v>
      </c>
      <c r="S194" s="152">
        <f t="shared" si="38"/>
        <v>0.05</v>
      </c>
      <c r="T194" s="18">
        <f t="shared" si="27"/>
        <v>0.05</v>
      </c>
    </row>
    <row r="195" spans="2:20" x14ac:dyDescent="0.25">
      <c r="B195" s="117" t="s">
        <v>368</v>
      </c>
      <c r="C195" s="136" t="s">
        <v>369</v>
      </c>
      <c r="D195" s="14" t="s">
        <v>27</v>
      </c>
      <c r="E195" s="14" t="s">
        <v>16</v>
      </c>
      <c r="F195" s="15">
        <v>45042</v>
      </c>
      <c r="G195" s="16">
        <v>0.7</v>
      </c>
      <c r="H195" s="15">
        <v>45266</v>
      </c>
      <c r="I195" s="16">
        <v>0.5</v>
      </c>
      <c r="J195" s="15"/>
      <c r="K195" s="16"/>
      <c r="L195" s="15"/>
      <c r="M195" s="63"/>
      <c r="N195" s="17"/>
      <c r="O195" s="16"/>
      <c r="P195" s="16"/>
      <c r="Q195" s="152">
        <f t="shared" si="36"/>
        <v>0</v>
      </c>
      <c r="R195" s="152">
        <f t="shared" si="37"/>
        <v>0.7</v>
      </c>
      <c r="S195" s="152">
        <f t="shared" si="38"/>
        <v>0.7</v>
      </c>
      <c r="T195" s="18">
        <f t="shared" si="27"/>
        <v>1.2</v>
      </c>
    </row>
    <row r="196" spans="2:20" x14ac:dyDescent="0.25">
      <c r="B196" s="117" t="s">
        <v>372</v>
      </c>
      <c r="C196" s="136" t="s">
        <v>373</v>
      </c>
      <c r="D196" s="14" t="s">
        <v>24</v>
      </c>
      <c r="E196" s="14" t="s">
        <v>16</v>
      </c>
      <c r="F196" s="15">
        <v>45110</v>
      </c>
      <c r="G196" s="16">
        <v>2.9</v>
      </c>
      <c r="H196" s="15"/>
      <c r="I196" s="16"/>
      <c r="J196" s="15"/>
      <c r="K196" s="16"/>
      <c r="L196" s="15"/>
      <c r="M196" s="63"/>
      <c r="N196" s="17"/>
      <c r="O196" s="16"/>
      <c r="P196" s="16"/>
      <c r="Q196" s="152">
        <f t="shared" si="36"/>
        <v>0</v>
      </c>
      <c r="R196" s="152">
        <f t="shared" si="37"/>
        <v>0</v>
      </c>
      <c r="S196" s="152">
        <f t="shared" si="38"/>
        <v>2.9</v>
      </c>
      <c r="T196" s="18">
        <f t="shared" si="27"/>
        <v>2.9</v>
      </c>
    </row>
    <row r="197" spans="2:20" x14ac:dyDescent="0.25">
      <c r="B197" s="117" t="s">
        <v>681</v>
      </c>
      <c r="C197" s="136" t="s">
        <v>682</v>
      </c>
      <c r="D197" s="14" t="s">
        <v>15</v>
      </c>
      <c r="E197" s="14" t="s">
        <v>16</v>
      </c>
      <c r="F197" s="15">
        <v>45254</v>
      </c>
      <c r="G197" s="16">
        <v>0.8</v>
      </c>
      <c r="H197" s="15"/>
      <c r="I197" s="16"/>
      <c r="J197" s="15"/>
      <c r="K197" s="16"/>
      <c r="L197" s="15"/>
      <c r="M197" s="63"/>
      <c r="N197" s="17"/>
      <c r="O197" s="16"/>
      <c r="P197" s="16"/>
      <c r="Q197" s="152">
        <f t="shared" si="36"/>
        <v>0</v>
      </c>
      <c r="R197" s="152">
        <f t="shared" si="37"/>
        <v>0</v>
      </c>
      <c r="S197" s="152">
        <f t="shared" si="38"/>
        <v>0</v>
      </c>
      <c r="T197" s="18">
        <f t="shared" si="27"/>
        <v>0.8</v>
      </c>
    </row>
    <row r="198" spans="2:20" x14ac:dyDescent="0.25">
      <c r="B198" s="117" t="s">
        <v>620</v>
      </c>
      <c r="C198" s="136" t="s">
        <v>375</v>
      </c>
      <c r="D198" s="14" t="s">
        <v>15</v>
      </c>
      <c r="E198" s="14" t="s">
        <v>16</v>
      </c>
      <c r="F198" s="15">
        <v>45015</v>
      </c>
      <c r="G198" s="16">
        <v>2.85</v>
      </c>
      <c r="H198" s="15"/>
      <c r="I198" s="16"/>
      <c r="J198" s="15"/>
      <c r="K198" s="16"/>
      <c r="L198" s="15"/>
      <c r="M198" s="63"/>
      <c r="N198" s="17"/>
      <c r="O198" s="16"/>
      <c r="P198" s="16"/>
      <c r="Q198" s="152">
        <f t="shared" si="36"/>
        <v>0</v>
      </c>
      <c r="R198" s="152">
        <f t="shared" si="37"/>
        <v>2.85</v>
      </c>
      <c r="S198" s="152">
        <f t="shared" si="38"/>
        <v>2.85</v>
      </c>
      <c r="T198" s="18">
        <f t="shared" si="27"/>
        <v>2.85</v>
      </c>
    </row>
    <row r="199" spans="2:20" x14ac:dyDescent="0.25">
      <c r="B199" s="117" t="s">
        <v>376</v>
      </c>
      <c r="C199" s="136" t="s">
        <v>377</v>
      </c>
      <c r="D199" s="14" t="s">
        <v>15</v>
      </c>
      <c r="E199" s="14" t="s">
        <v>761</v>
      </c>
      <c r="F199" s="15">
        <v>45022</v>
      </c>
      <c r="G199" s="16">
        <v>110.3</v>
      </c>
      <c r="H199" s="15">
        <v>45141</v>
      </c>
      <c r="I199" s="16">
        <v>76.599999999999994</v>
      </c>
      <c r="J199" s="15"/>
      <c r="K199" s="16"/>
      <c r="L199" s="15"/>
      <c r="M199" s="63"/>
      <c r="N199" s="17"/>
      <c r="O199" s="16"/>
      <c r="P199" s="16"/>
      <c r="Q199" s="152">
        <f t="shared" si="36"/>
        <v>0</v>
      </c>
      <c r="R199" s="152">
        <f t="shared" si="37"/>
        <v>110.3</v>
      </c>
      <c r="S199" s="152">
        <f t="shared" si="38"/>
        <v>186.89999999999998</v>
      </c>
      <c r="T199" s="18">
        <f t="shared" si="27"/>
        <v>186.89999999999998</v>
      </c>
    </row>
    <row r="200" spans="2:20" x14ac:dyDescent="0.25">
      <c r="B200" s="117" t="s">
        <v>936</v>
      </c>
      <c r="C200" s="136" t="s">
        <v>379</v>
      </c>
      <c r="D200" s="14" t="s">
        <v>15</v>
      </c>
      <c r="E200" s="14" t="s">
        <v>16</v>
      </c>
      <c r="F200" s="15">
        <v>44931</v>
      </c>
      <c r="G200" s="16">
        <v>0.2727</v>
      </c>
      <c r="H200" s="15">
        <v>45106</v>
      </c>
      <c r="I200" s="16">
        <v>0.72729999999999995</v>
      </c>
      <c r="J200" s="15"/>
      <c r="K200" s="16"/>
      <c r="L200" s="15"/>
      <c r="M200" s="63"/>
      <c r="N200" s="17"/>
      <c r="O200" s="16"/>
      <c r="P200" s="16"/>
      <c r="Q200" s="152">
        <f t="shared" si="36"/>
        <v>0.2727</v>
      </c>
      <c r="R200" s="152">
        <f t="shared" si="37"/>
        <v>0.2727</v>
      </c>
      <c r="S200" s="152">
        <f t="shared" si="38"/>
        <v>1</v>
      </c>
      <c r="T200" s="18">
        <f t="shared" si="27"/>
        <v>1</v>
      </c>
    </row>
    <row r="201" spans="2:20" x14ac:dyDescent="0.25">
      <c r="B201" s="117" t="s">
        <v>382</v>
      </c>
      <c r="C201" s="136" t="s">
        <v>381</v>
      </c>
      <c r="D201" s="45" t="s">
        <v>15</v>
      </c>
      <c r="E201" s="45" t="s">
        <v>16</v>
      </c>
      <c r="F201" s="15">
        <v>45043</v>
      </c>
      <c r="G201" s="16">
        <f>+G202/0.8856/100</f>
        <v>0.43925022583559165</v>
      </c>
      <c r="H201" s="15">
        <v>45141</v>
      </c>
      <c r="I201" s="16">
        <f>0.17/0.86038</f>
        <v>0.19758711267114532</v>
      </c>
      <c r="J201" s="15"/>
      <c r="K201" s="16"/>
      <c r="L201" s="15"/>
      <c r="M201" s="63"/>
      <c r="N201" s="17"/>
      <c r="O201" s="16"/>
      <c r="P201" s="16"/>
      <c r="Q201" s="152">
        <f t="shared" si="36"/>
        <v>0</v>
      </c>
      <c r="R201" s="152">
        <f t="shared" si="37"/>
        <v>0.43925022583559165</v>
      </c>
      <c r="S201" s="152">
        <f t="shared" si="38"/>
        <v>0.63683733850673696</v>
      </c>
      <c r="T201" s="18">
        <f t="shared" si="27"/>
        <v>0.63683733850673696</v>
      </c>
    </row>
    <row r="202" spans="2:20" x14ac:dyDescent="0.25">
      <c r="B202" s="117" t="s">
        <v>382</v>
      </c>
      <c r="C202" s="136" t="s">
        <v>383</v>
      </c>
      <c r="D202" s="45" t="s">
        <v>15</v>
      </c>
      <c r="E202" s="14" t="s">
        <v>761</v>
      </c>
      <c r="F202" s="15">
        <v>45043</v>
      </c>
      <c r="G202" s="16">
        <v>38.9</v>
      </c>
      <c r="H202" s="15">
        <v>45141</v>
      </c>
      <c r="I202" s="16">
        <v>17</v>
      </c>
      <c r="J202" s="15"/>
      <c r="K202" s="16"/>
      <c r="L202" s="15"/>
      <c r="M202" s="63"/>
      <c r="N202" s="17"/>
      <c r="O202" s="16"/>
      <c r="P202" s="16"/>
      <c r="Q202" s="152">
        <f t="shared" si="36"/>
        <v>0</v>
      </c>
      <c r="R202" s="152">
        <f t="shared" si="37"/>
        <v>38.9</v>
      </c>
      <c r="S202" s="152">
        <f t="shared" si="38"/>
        <v>55.9</v>
      </c>
      <c r="T202" s="18">
        <f t="shared" si="27"/>
        <v>55.9</v>
      </c>
    </row>
    <row r="203" spans="2:20" x14ac:dyDescent="0.25">
      <c r="B203" s="117" t="s">
        <v>384</v>
      </c>
      <c r="C203" s="136" t="s">
        <v>385</v>
      </c>
      <c r="D203" s="45" t="s">
        <v>24</v>
      </c>
      <c r="E203" s="14" t="s">
        <v>16</v>
      </c>
      <c r="F203" s="15">
        <v>45063</v>
      </c>
      <c r="G203" s="16">
        <v>0.25</v>
      </c>
      <c r="H203" s="15"/>
      <c r="I203" s="16"/>
      <c r="J203" s="15"/>
      <c r="K203" s="16"/>
      <c r="L203" s="15"/>
      <c r="M203" s="63"/>
      <c r="N203" s="17"/>
      <c r="O203" s="16"/>
      <c r="P203" s="16"/>
      <c r="Q203" s="152">
        <f t="shared" si="36"/>
        <v>0</v>
      </c>
      <c r="R203" s="152">
        <f t="shared" si="37"/>
        <v>0.25</v>
      </c>
      <c r="S203" s="152">
        <f t="shared" si="38"/>
        <v>0.25</v>
      </c>
      <c r="T203" s="18">
        <f t="shared" si="27"/>
        <v>0.25</v>
      </c>
    </row>
    <row r="204" spans="2:20" x14ac:dyDescent="0.25">
      <c r="B204" s="117" t="s">
        <v>386</v>
      </c>
      <c r="C204" s="136" t="s">
        <v>387</v>
      </c>
      <c r="D204" s="14" t="s">
        <v>15</v>
      </c>
      <c r="E204" s="14" t="s">
        <v>16</v>
      </c>
      <c r="F204" s="15">
        <v>44935</v>
      </c>
      <c r="G204" s="16">
        <v>0.35</v>
      </c>
      <c r="H204" s="15">
        <v>45111</v>
      </c>
      <c r="I204" s="16">
        <v>0.35</v>
      </c>
      <c r="J204" s="15"/>
      <c r="K204" s="16"/>
      <c r="L204" s="15"/>
      <c r="M204" s="63"/>
      <c r="N204" s="17"/>
      <c r="O204" s="16"/>
      <c r="P204" s="16"/>
      <c r="Q204" s="152">
        <f t="shared" si="36"/>
        <v>0.35</v>
      </c>
      <c r="R204" s="152">
        <f t="shared" si="37"/>
        <v>0.35</v>
      </c>
      <c r="S204" s="152">
        <f t="shared" si="38"/>
        <v>0.7</v>
      </c>
      <c r="T204" s="18">
        <f t="shared" si="27"/>
        <v>0.7</v>
      </c>
    </row>
    <row r="205" spans="2:20" x14ac:dyDescent="0.25">
      <c r="B205" s="117" t="s">
        <v>388</v>
      </c>
      <c r="C205" s="136" t="s">
        <v>389</v>
      </c>
      <c r="D205" s="14" t="s">
        <v>15</v>
      </c>
      <c r="E205" s="14" t="s">
        <v>761</v>
      </c>
      <c r="F205" s="15">
        <v>44994</v>
      </c>
      <c r="G205" s="16">
        <v>138.35</v>
      </c>
      <c r="H205" s="15">
        <v>45148</v>
      </c>
      <c r="I205" s="16">
        <v>137.66999999999999</v>
      </c>
      <c r="J205" s="15"/>
      <c r="K205" s="16"/>
      <c r="L205" s="15"/>
      <c r="M205" s="63"/>
      <c r="N205" s="17"/>
      <c r="O205" s="16"/>
      <c r="P205" s="16"/>
      <c r="Q205" s="152">
        <f t="shared" si="36"/>
        <v>138.35</v>
      </c>
      <c r="R205" s="152">
        <f t="shared" si="37"/>
        <v>138.35</v>
      </c>
      <c r="S205" s="152">
        <f t="shared" si="38"/>
        <v>276.02</v>
      </c>
      <c r="T205" s="18">
        <f t="shared" si="27"/>
        <v>276.02</v>
      </c>
    </row>
    <row r="206" spans="2:20" x14ac:dyDescent="0.25">
      <c r="B206" s="117" t="s">
        <v>390</v>
      </c>
      <c r="C206" s="136" t="s">
        <v>391</v>
      </c>
      <c r="D206" s="14" t="s">
        <v>15</v>
      </c>
      <c r="E206" s="14" t="s">
        <v>21</v>
      </c>
      <c r="F206" s="15">
        <v>45001</v>
      </c>
      <c r="G206" s="16">
        <v>9.5</v>
      </c>
      <c r="H206" s="15"/>
      <c r="I206" s="16"/>
      <c r="J206" s="15"/>
      <c r="K206" s="16"/>
      <c r="L206" s="15"/>
      <c r="M206" s="63"/>
      <c r="N206" s="17"/>
      <c r="O206" s="16"/>
      <c r="P206" s="16"/>
      <c r="Q206" s="152">
        <f t="shared" si="36"/>
        <v>9.5</v>
      </c>
      <c r="R206" s="152">
        <f t="shared" si="37"/>
        <v>9.5</v>
      </c>
      <c r="S206" s="152">
        <f t="shared" si="38"/>
        <v>9.5</v>
      </c>
      <c r="T206" s="18">
        <f t="shared" ref="T206:T279" si="39">G206+I206+K206+M206+O206</f>
        <v>9.5</v>
      </c>
    </row>
    <row r="207" spans="2:20" x14ac:dyDescent="0.25">
      <c r="B207" s="117" t="s">
        <v>392</v>
      </c>
      <c r="C207" s="136" t="s">
        <v>393</v>
      </c>
      <c r="D207" s="14" t="s">
        <v>15</v>
      </c>
      <c r="E207" s="14" t="s">
        <v>761</v>
      </c>
      <c r="F207" s="15"/>
      <c r="G207" s="16"/>
      <c r="H207" s="15"/>
      <c r="I207" s="16"/>
      <c r="J207" s="15"/>
      <c r="K207" s="16"/>
      <c r="L207" s="15"/>
      <c r="M207" s="63"/>
      <c r="N207" s="17"/>
      <c r="O207" s="16"/>
      <c r="P207" s="16"/>
      <c r="Q207" s="152">
        <f t="shared" si="36"/>
        <v>0</v>
      </c>
      <c r="R207" s="152">
        <f t="shared" si="37"/>
        <v>0</v>
      </c>
      <c r="S207" s="152">
        <f t="shared" si="38"/>
        <v>0</v>
      </c>
      <c r="T207" s="18">
        <f t="shared" si="39"/>
        <v>0</v>
      </c>
    </row>
    <row r="208" spans="2:20" x14ac:dyDescent="0.25">
      <c r="B208" s="117" t="s">
        <v>822</v>
      </c>
      <c r="C208" s="136" t="s">
        <v>395</v>
      </c>
      <c r="D208" s="14" t="s">
        <v>15</v>
      </c>
      <c r="E208" s="14" t="s">
        <v>16</v>
      </c>
      <c r="F208" s="15">
        <v>44973</v>
      </c>
      <c r="G208" s="16">
        <v>0.27160000000000001</v>
      </c>
      <c r="H208" s="15">
        <v>45064</v>
      </c>
      <c r="I208" s="16">
        <v>0.26779999999999998</v>
      </c>
      <c r="J208" s="15">
        <v>45148</v>
      </c>
      <c r="K208" s="16">
        <v>0.30459999999999998</v>
      </c>
      <c r="L208" s="15">
        <v>45246</v>
      </c>
      <c r="M208" s="63">
        <v>0.307</v>
      </c>
      <c r="N208" s="17"/>
      <c r="O208" s="16"/>
      <c r="P208" s="16"/>
      <c r="Q208" s="152">
        <f t="shared" si="36"/>
        <v>0.27160000000000001</v>
      </c>
      <c r="R208" s="152">
        <f t="shared" si="37"/>
        <v>0.53939999999999999</v>
      </c>
      <c r="S208" s="152">
        <f t="shared" si="38"/>
        <v>0.84399999999999997</v>
      </c>
      <c r="T208" s="18">
        <f t="shared" si="39"/>
        <v>1.151</v>
      </c>
    </row>
    <row r="209" spans="2:20" x14ac:dyDescent="0.25">
      <c r="B209" s="117" t="s">
        <v>396</v>
      </c>
      <c r="C209" s="136" t="s">
        <v>397</v>
      </c>
      <c r="D209" s="14" t="s">
        <v>15</v>
      </c>
      <c r="E209" s="14" t="s">
        <v>16</v>
      </c>
      <c r="F209" s="15">
        <v>45051</v>
      </c>
      <c r="G209" s="16">
        <v>0.9</v>
      </c>
      <c r="H209" s="15"/>
      <c r="I209" s="16"/>
      <c r="J209" s="15"/>
      <c r="K209" s="16"/>
      <c r="L209" s="15"/>
      <c r="M209" s="63"/>
      <c r="N209" s="17"/>
      <c r="O209" s="16"/>
      <c r="P209" s="16"/>
      <c r="Q209" s="152">
        <f t="shared" si="36"/>
        <v>0</v>
      </c>
      <c r="R209" s="152">
        <f t="shared" si="37"/>
        <v>0.9</v>
      </c>
      <c r="S209" s="152">
        <f t="shared" si="38"/>
        <v>0.9</v>
      </c>
      <c r="T209" s="18">
        <f t="shared" si="39"/>
        <v>0.9</v>
      </c>
    </row>
    <row r="210" spans="2:20" x14ac:dyDescent="0.25">
      <c r="B210" s="117" t="s">
        <v>398</v>
      </c>
      <c r="C210" s="136" t="s">
        <v>399</v>
      </c>
      <c r="D210" s="14" t="s">
        <v>24</v>
      </c>
      <c r="E210" s="14" t="s">
        <v>16</v>
      </c>
      <c r="F210" s="15">
        <v>45076</v>
      </c>
      <c r="G210" s="16">
        <v>1.35</v>
      </c>
      <c r="H210" s="15"/>
      <c r="I210" s="16"/>
      <c r="J210" s="15"/>
      <c r="K210" s="16"/>
      <c r="L210" s="15"/>
      <c r="M210" s="63"/>
      <c r="N210" s="17"/>
      <c r="O210" s="16"/>
      <c r="P210" s="16"/>
      <c r="Q210" s="152">
        <f t="shared" si="36"/>
        <v>0</v>
      </c>
      <c r="R210" s="152">
        <f t="shared" si="37"/>
        <v>1.35</v>
      </c>
      <c r="S210" s="152">
        <f t="shared" si="38"/>
        <v>1.35</v>
      </c>
      <c r="T210" s="18">
        <f t="shared" si="39"/>
        <v>1.35</v>
      </c>
    </row>
    <row r="211" spans="2:20" x14ac:dyDescent="0.25">
      <c r="B211" s="117" t="s">
        <v>400</v>
      </c>
      <c r="C211" s="136" t="s">
        <v>401</v>
      </c>
      <c r="D211" s="14" t="s">
        <v>24</v>
      </c>
      <c r="E211" s="14" t="s">
        <v>16</v>
      </c>
      <c r="F211" s="15">
        <v>45089</v>
      </c>
      <c r="G211" s="16">
        <v>2</v>
      </c>
      <c r="H211" s="15"/>
      <c r="I211" s="16"/>
      <c r="J211" s="15"/>
      <c r="K211" s="16"/>
      <c r="L211" s="15"/>
      <c r="M211" s="63"/>
      <c r="N211" s="17"/>
      <c r="O211" s="16"/>
      <c r="P211" s="16"/>
      <c r="Q211" s="152">
        <f t="shared" si="36"/>
        <v>0</v>
      </c>
      <c r="R211" s="152">
        <f t="shared" si="37"/>
        <v>2</v>
      </c>
      <c r="S211" s="152">
        <f t="shared" si="38"/>
        <v>2</v>
      </c>
      <c r="T211" s="18">
        <f t="shared" si="39"/>
        <v>2</v>
      </c>
    </row>
    <row r="212" spans="2:20" x14ac:dyDescent="0.25">
      <c r="B212" s="117" t="s">
        <v>919</v>
      </c>
      <c r="C212" s="136" t="s">
        <v>920</v>
      </c>
      <c r="D212" s="14" t="s">
        <v>755</v>
      </c>
      <c r="E212" s="14" t="s">
        <v>475</v>
      </c>
      <c r="F212" s="15">
        <v>45086</v>
      </c>
      <c r="G212" s="16">
        <v>20</v>
      </c>
      <c r="H212" s="15"/>
      <c r="I212" s="16"/>
      <c r="J212" s="15"/>
      <c r="K212" s="16"/>
      <c r="L212" s="15"/>
      <c r="M212" s="63"/>
      <c r="N212" s="17"/>
      <c r="O212" s="16"/>
      <c r="P212" s="16"/>
      <c r="Q212" s="152">
        <f t="shared" ref="Q212" si="40">IF(F212&lt;=Exp23Q1,G212,0)+IF(H212&lt;=Exp23Q1,I212,0)+IF(J212&lt;=Exp23Q1,K212,0)+IF(L212&lt;=Exp23Q1,M212,0)+IF(N212&lt;=Exp23Q1,O212,0)</f>
        <v>0</v>
      </c>
      <c r="R212" s="152">
        <f t="shared" ref="R212" si="41">IF(F212&lt;=Exp23H1,G212,0)+IF(H212&lt;=Exp23H1,I212,0)+IF(J212&lt;=Exp23H1,K212,0)+IF(L212&lt;=Exp23H1,M212,0)+IF(N212&lt;=Exp23H1,O212,0)</f>
        <v>20</v>
      </c>
      <c r="S212" s="152">
        <f t="shared" ref="S212" si="42">IF(F212&lt;=Exp23Q3,G212,0)+IF(H212&lt;=Exp23Q3,I212,0)+IF(J212&lt;=Exp23Q3,K212,0)+IF(L212&lt;=Exp23Q3,M212,0)+IF(N212&lt;=Exp23Q3,O212,0)</f>
        <v>20</v>
      </c>
      <c r="T212" s="18">
        <f t="shared" ref="T212" si="43">G212+I212+K212+M212+O212</f>
        <v>20</v>
      </c>
    </row>
    <row r="213" spans="2:20" x14ac:dyDescent="0.25">
      <c r="B213" s="117" t="s">
        <v>404</v>
      </c>
      <c r="C213" s="136" t="s">
        <v>405</v>
      </c>
      <c r="D213" s="14" t="s">
        <v>15</v>
      </c>
      <c r="E213" s="14" t="s">
        <v>16</v>
      </c>
      <c r="F213" s="153">
        <v>45065</v>
      </c>
      <c r="G213" s="154">
        <f>1.8*0.98176846</f>
        <v>1.7671832279999999</v>
      </c>
      <c r="H213" s="15"/>
      <c r="I213" s="16"/>
      <c r="J213" s="15"/>
      <c r="K213" s="16"/>
      <c r="L213" s="15"/>
      <c r="M213" s="63"/>
      <c r="N213" s="17"/>
      <c r="O213" s="16"/>
      <c r="P213" s="16"/>
      <c r="Q213" s="152">
        <f t="shared" si="36"/>
        <v>0</v>
      </c>
      <c r="R213" s="152">
        <f t="shared" si="37"/>
        <v>1.7671832279999999</v>
      </c>
      <c r="S213" s="152">
        <f t="shared" si="38"/>
        <v>1.7671832279999999</v>
      </c>
      <c r="T213" s="18">
        <f t="shared" si="39"/>
        <v>1.7671832279999999</v>
      </c>
    </row>
    <row r="214" spans="2:20" x14ac:dyDescent="0.25">
      <c r="B214" s="155" t="s">
        <v>840</v>
      </c>
      <c r="C214" s="156" t="s">
        <v>841</v>
      </c>
      <c r="D214" s="39" t="s">
        <v>15</v>
      </c>
      <c r="E214" s="39" t="s">
        <v>200</v>
      </c>
      <c r="F214" s="15">
        <v>45044</v>
      </c>
      <c r="G214" s="16">
        <v>5</v>
      </c>
      <c r="H214" s="15"/>
      <c r="I214" s="16"/>
      <c r="J214" s="15"/>
      <c r="K214" s="16"/>
      <c r="L214" s="15"/>
      <c r="M214" s="63"/>
      <c r="N214" s="17"/>
      <c r="O214" s="16"/>
      <c r="P214" s="41"/>
      <c r="Q214" s="152">
        <f t="shared" si="36"/>
        <v>0</v>
      </c>
      <c r="R214" s="152">
        <f t="shared" si="37"/>
        <v>5</v>
      </c>
      <c r="S214" s="152">
        <f t="shared" si="38"/>
        <v>5</v>
      </c>
      <c r="T214" s="43">
        <f t="shared" si="39"/>
        <v>5</v>
      </c>
    </row>
    <row r="215" spans="2:20" x14ac:dyDescent="0.25">
      <c r="B215" s="117" t="s">
        <v>406</v>
      </c>
      <c r="C215" s="136" t="s">
        <v>547</v>
      </c>
      <c r="D215" s="14" t="s">
        <v>24</v>
      </c>
      <c r="E215" s="14" t="s">
        <v>16</v>
      </c>
      <c r="F215" s="15">
        <v>45076</v>
      </c>
      <c r="G215" s="16">
        <v>3.56</v>
      </c>
      <c r="H215" s="15"/>
      <c r="I215" s="16"/>
      <c r="J215" s="15"/>
      <c r="K215" s="16"/>
      <c r="L215" s="15"/>
      <c r="M215" s="63"/>
      <c r="N215" s="17"/>
      <c r="O215" s="16"/>
      <c r="P215" s="16"/>
      <c r="Q215" s="152">
        <f t="shared" si="36"/>
        <v>0</v>
      </c>
      <c r="R215" s="152">
        <f t="shared" si="37"/>
        <v>3.56</v>
      </c>
      <c r="S215" s="152">
        <f t="shared" si="38"/>
        <v>3.56</v>
      </c>
      <c r="T215" s="18">
        <f t="shared" si="39"/>
        <v>3.56</v>
      </c>
    </row>
    <row r="216" spans="2:20" x14ac:dyDescent="0.25">
      <c r="B216" s="158" t="s">
        <v>408</v>
      </c>
      <c r="C216" s="159" t="s">
        <v>409</v>
      </c>
      <c r="D216" s="45" t="s">
        <v>15</v>
      </c>
      <c r="E216" s="45" t="s">
        <v>16</v>
      </c>
      <c r="F216" s="15">
        <v>45058</v>
      </c>
      <c r="G216" s="16">
        <v>2.0499999999999998</v>
      </c>
      <c r="H216" s="15"/>
      <c r="I216" s="16"/>
      <c r="J216" s="15"/>
      <c r="K216" s="16"/>
      <c r="L216" s="15"/>
      <c r="M216" s="63"/>
      <c r="N216" s="17"/>
      <c r="O216" s="16"/>
      <c r="P216" s="47"/>
      <c r="Q216" s="152">
        <f t="shared" si="36"/>
        <v>0</v>
      </c>
      <c r="R216" s="152">
        <f t="shared" si="37"/>
        <v>2.0499999999999998</v>
      </c>
      <c r="S216" s="152">
        <f t="shared" si="38"/>
        <v>2.0499999999999998</v>
      </c>
      <c r="T216" s="49">
        <f t="shared" si="39"/>
        <v>2.0499999999999998</v>
      </c>
    </row>
    <row r="217" spans="2:20" x14ac:dyDescent="0.25">
      <c r="B217" s="117" t="s">
        <v>410</v>
      </c>
      <c r="C217" s="136" t="s">
        <v>411</v>
      </c>
      <c r="D217" s="14" t="s">
        <v>15</v>
      </c>
      <c r="E217" s="14" t="s">
        <v>16</v>
      </c>
      <c r="F217" s="15">
        <v>45033</v>
      </c>
      <c r="G217" s="16">
        <f>1.1/1.1057</f>
        <v>0.99484489463688175</v>
      </c>
      <c r="H217" s="15"/>
      <c r="I217" s="16"/>
      <c r="J217" s="15"/>
      <c r="K217" s="16"/>
      <c r="L217" s="15"/>
      <c r="M217" s="63"/>
      <c r="N217" s="17"/>
      <c r="O217" s="16"/>
      <c r="P217" s="16"/>
      <c r="Q217" s="152">
        <f t="shared" si="36"/>
        <v>0</v>
      </c>
      <c r="R217" s="152">
        <f t="shared" si="37"/>
        <v>0.99484489463688175</v>
      </c>
      <c r="S217" s="152">
        <f t="shared" si="38"/>
        <v>0.99484489463688175</v>
      </c>
      <c r="T217" s="18">
        <f t="shared" si="39"/>
        <v>0.99484489463688175</v>
      </c>
    </row>
    <row r="218" spans="2:20" x14ac:dyDescent="0.25">
      <c r="B218" s="117" t="s">
        <v>921</v>
      </c>
      <c r="C218" s="136" t="s">
        <v>922</v>
      </c>
      <c r="D218" s="14" t="s">
        <v>755</v>
      </c>
      <c r="E218" s="14" t="s">
        <v>475</v>
      </c>
      <c r="F218" s="15">
        <v>45048</v>
      </c>
      <c r="G218" s="16">
        <v>2</v>
      </c>
      <c r="H218" s="15"/>
      <c r="I218" s="16"/>
      <c r="J218" s="15"/>
      <c r="K218" s="16"/>
      <c r="L218" s="15"/>
      <c r="M218" s="63"/>
      <c r="N218" s="17"/>
      <c r="O218" s="16"/>
      <c r="P218" s="16"/>
      <c r="Q218" s="152">
        <f t="shared" ref="Q218" si="44">IF(F218&lt;=Exp23Q1,G218,0)+IF(H218&lt;=Exp23Q1,I218,0)+IF(J218&lt;=Exp23Q1,K218,0)+IF(L218&lt;=Exp23Q1,M218,0)+IF(N218&lt;=Exp23Q1,O218,0)</f>
        <v>0</v>
      </c>
      <c r="R218" s="152">
        <f t="shared" ref="R218" si="45">IF(F218&lt;=Exp23H1,G218,0)+IF(H218&lt;=Exp23H1,I218,0)+IF(J218&lt;=Exp23H1,K218,0)+IF(L218&lt;=Exp23H1,M218,0)+IF(N218&lt;=Exp23H1,O218,0)</f>
        <v>2</v>
      </c>
      <c r="S218" s="152">
        <f t="shared" ref="S218" si="46">IF(F218&lt;=Exp23Q3,G218,0)+IF(H218&lt;=Exp23Q3,I218,0)+IF(J218&lt;=Exp23Q3,K218,0)+IF(L218&lt;=Exp23Q3,M218,0)+IF(N218&lt;=Exp23Q3,O218,0)</f>
        <v>2</v>
      </c>
      <c r="T218" s="18">
        <f t="shared" ref="T218" si="47">G218+I218+K218+M218+O218</f>
        <v>2</v>
      </c>
    </row>
    <row r="219" spans="2:20" x14ac:dyDescent="0.25">
      <c r="B219" s="117" t="s">
        <v>412</v>
      </c>
      <c r="C219" s="136" t="s">
        <v>413</v>
      </c>
      <c r="D219" s="14" t="s">
        <v>24</v>
      </c>
      <c r="E219" s="14" t="s">
        <v>16</v>
      </c>
      <c r="F219" s="15">
        <v>45055</v>
      </c>
      <c r="G219" s="16">
        <v>3.15</v>
      </c>
      <c r="H219" s="15"/>
      <c r="I219" s="16"/>
      <c r="J219" s="15"/>
      <c r="K219" s="16"/>
      <c r="L219" s="15"/>
      <c r="M219" s="63"/>
      <c r="N219" s="17"/>
      <c r="O219" s="16"/>
      <c r="P219" s="16"/>
      <c r="Q219" s="152">
        <f t="shared" si="36"/>
        <v>0</v>
      </c>
      <c r="R219" s="152">
        <f t="shared" si="37"/>
        <v>3.15</v>
      </c>
      <c r="S219" s="152">
        <f t="shared" si="38"/>
        <v>3.15</v>
      </c>
      <c r="T219" s="18">
        <f t="shared" si="39"/>
        <v>3.15</v>
      </c>
    </row>
    <row r="220" spans="2:20" x14ac:dyDescent="0.25">
      <c r="B220" s="117" t="s">
        <v>414</v>
      </c>
      <c r="C220" s="136" t="s">
        <v>415</v>
      </c>
      <c r="D220" s="14" t="s">
        <v>24</v>
      </c>
      <c r="E220" s="14" t="s">
        <v>16</v>
      </c>
      <c r="F220" s="15">
        <v>45076</v>
      </c>
      <c r="G220" s="16">
        <v>1.4</v>
      </c>
      <c r="H220" s="15"/>
      <c r="I220" s="16"/>
      <c r="J220" s="15"/>
      <c r="K220" s="16"/>
      <c r="L220" s="15"/>
      <c r="M220" s="63"/>
      <c r="N220" s="17"/>
      <c r="O220" s="16"/>
      <c r="P220" s="16"/>
      <c r="Q220" s="152">
        <f t="shared" si="36"/>
        <v>0</v>
      </c>
      <c r="R220" s="152">
        <f t="shared" si="37"/>
        <v>1.4</v>
      </c>
      <c r="S220" s="152">
        <f t="shared" si="38"/>
        <v>1.4</v>
      </c>
      <c r="T220" s="18">
        <f t="shared" si="39"/>
        <v>1.4</v>
      </c>
    </row>
    <row r="221" spans="2:20" x14ac:dyDescent="0.25">
      <c r="B221" s="117" t="s">
        <v>888</v>
      </c>
      <c r="C221" s="136" t="s">
        <v>889</v>
      </c>
      <c r="D221" s="14" t="s">
        <v>15</v>
      </c>
      <c r="E221" s="14" t="s">
        <v>200</v>
      </c>
      <c r="F221" s="15">
        <v>45051</v>
      </c>
      <c r="G221" s="16">
        <v>1.75</v>
      </c>
      <c r="H221" s="15">
        <v>45247</v>
      </c>
      <c r="I221" s="16">
        <v>1.7</v>
      </c>
      <c r="J221" s="15"/>
      <c r="K221" s="16"/>
      <c r="L221" s="15"/>
      <c r="M221" s="63"/>
      <c r="N221" s="17"/>
      <c r="O221" s="16"/>
      <c r="P221" s="16"/>
      <c r="Q221" s="152">
        <f t="shared" si="36"/>
        <v>0</v>
      </c>
      <c r="R221" s="152">
        <f t="shared" si="37"/>
        <v>1.75</v>
      </c>
      <c r="S221" s="152">
        <f t="shared" si="38"/>
        <v>1.75</v>
      </c>
      <c r="T221" s="18">
        <f t="shared" si="39"/>
        <v>3.45</v>
      </c>
    </row>
    <row r="222" spans="2:20" x14ac:dyDescent="0.25">
      <c r="B222" s="117" t="s">
        <v>418</v>
      </c>
      <c r="C222" s="136" t="s">
        <v>419</v>
      </c>
      <c r="D222" s="14" t="s">
        <v>15</v>
      </c>
      <c r="E222" s="14" t="s">
        <v>761</v>
      </c>
      <c r="F222" s="15">
        <v>45078</v>
      </c>
      <c r="G222" s="16">
        <v>64.09</v>
      </c>
      <c r="H222" s="15">
        <v>45260</v>
      </c>
      <c r="I222" s="16">
        <v>46.74</v>
      </c>
      <c r="J222" s="15"/>
      <c r="K222" s="16"/>
      <c r="L222" s="15"/>
      <c r="M222" s="63"/>
      <c r="N222" s="17"/>
      <c r="O222" s="16"/>
      <c r="P222" s="16"/>
      <c r="Q222" s="152">
        <f t="shared" si="36"/>
        <v>0</v>
      </c>
      <c r="R222" s="152">
        <f t="shared" si="37"/>
        <v>64.09</v>
      </c>
      <c r="S222" s="152">
        <f t="shared" si="38"/>
        <v>64.09</v>
      </c>
      <c r="T222" s="18">
        <f>G222+I222+K222+M222+O222</f>
        <v>110.83000000000001</v>
      </c>
    </row>
    <row r="223" spans="2:20" x14ac:dyDescent="0.25">
      <c r="B223" s="155" t="s">
        <v>420</v>
      </c>
      <c r="C223" s="156" t="s">
        <v>421</v>
      </c>
      <c r="D223" s="39" t="s">
        <v>15</v>
      </c>
      <c r="E223" s="39" t="s">
        <v>21</v>
      </c>
      <c r="F223" s="153">
        <v>45015</v>
      </c>
      <c r="G223" s="154">
        <f>0.04*80</f>
        <v>3.2</v>
      </c>
      <c r="H223" s="15"/>
      <c r="I223" s="16"/>
      <c r="J223" s="15"/>
      <c r="K223" s="16"/>
      <c r="L223" s="15"/>
      <c r="M223" s="63"/>
      <c r="N223" s="17"/>
      <c r="O223" s="16"/>
      <c r="P223" s="41"/>
      <c r="Q223" s="152">
        <f t="shared" si="36"/>
        <v>0</v>
      </c>
      <c r="R223" s="152">
        <f t="shared" si="37"/>
        <v>3.2</v>
      </c>
      <c r="S223" s="152">
        <f t="shared" si="38"/>
        <v>3.2</v>
      </c>
      <c r="T223" s="43">
        <f t="shared" si="39"/>
        <v>3.2</v>
      </c>
    </row>
    <row r="224" spans="2:20" x14ac:dyDescent="0.25">
      <c r="B224" s="117" t="s">
        <v>738</v>
      </c>
      <c r="C224" s="136" t="s">
        <v>740</v>
      </c>
      <c r="D224" s="39" t="s">
        <v>15</v>
      </c>
      <c r="E224" s="14" t="s">
        <v>16</v>
      </c>
      <c r="F224" s="15">
        <v>44967</v>
      </c>
      <c r="G224" s="16">
        <v>4.25</v>
      </c>
      <c r="H224" s="15"/>
      <c r="I224" s="16"/>
      <c r="J224" s="15"/>
      <c r="K224" s="16"/>
      <c r="L224" s="15"/>
      <c r="M224" s="63"/>
      <c r="N224" s="17"/>
      <c r="O224" s="16"/>
      <c r="P224" s="16"/>
      <c r="Q224" s="152">
        <f t="shared" si="36"/>
        <v>4.25</v>
      </c>
      <c r="R224" s="152">
        <f t="shared" si="37"/>
        <v>4.25</v>
      </c>
      <c r="S224" s="152">
        <f t="shared" si="38"/>
        <v>4.25</v>
      </c>
      <c r="T224" s="18">
        <f t="shared" si="39"/>
        <v>4.25</v>
      </c>
    </row>
    <row r="225" spans="2:20" x14ac:dyDescent="0.25">
      <c r="B225" s="155" t="s">
        <v>739</v>
      </c>
      <c r="C225" s="156" t="s">
        <v>741</v>
      </c>
      <c r="D225" s="39" t="s">
        <v>15</v>
      </c>
      <c r="E225" s="39" t="s">
        <v>16</v>
      </c>
      <c r="F225" s="15"/>
      <c r="G225" s="16"/>
      <c r="H225" s="15"/>
      <c r="I225" s="16"/>
      <c r="J225" s="15"/>
      <c r="K225" s="16"/>
      <c r="L225" s="15"/>
      <c r="M225" s="63"/>
      <c r="N225" s="17"/>
      <c r="O225" s="16"/>
      <c r="P225" s="41"/>
      <c r="Q225" s="152">
        <f t="shared" si="36"/>
        <v>0</v>
      </c>
      <c r="R225" s="152">
        <f t="shared" si="37"/>
        <v>0</v>
      </c>
      <c r="S225" s="152">
        <f t="shared" si="38"/>
        <v>0</v>
      </c>
      <c r="T225" s="43">
        <f t="shared" si="39"/>
        <v>0</v>
      </c>
    </row>
    <row r="226" spans="2:20" x14ac:dyDescent="0.25">
      <c r="B226" s="117" t="s">
        <v>771</v>
      </c>
      <c r="C226" s="136" t="s">
        <v>772</v>
      </c>
      <c r="D226" s="39" t="s">
        <v>15</v>
      </c>
      <c r="E226" s="14" t="s">
        <v>16</v>
      </c>
      <c r="F226" s="15">
        <v>45064</v>
      </c>
      <c r="G226" s="16">
        <v>1.5</v>
      </c>
      <c r="H226" s="15"/>
      <c r="I226" s="16"/>
      <c r="J226" s="15"/>
      <c r="K226" s="16"/>
      <c r="L226" s="15"/>
      <c r="M226" s="63"/>
      <c r="N226" s="17"/>
      <c r="O226" s="16"/>
      <c r="P226" s="16"/>
      <c r="Q226" s="152">
        <f t="shared" si="36"/>
        <v>0</v>
      </c>
      <c r="R226" s="152">
        <f t="shared" si="37"/>
        <v>1.5</v>
      </c>
      <c r="S226" s="152">
        <f t="shared" si="38"/>
        <v>1.5</v>
      </c>
      <c r="T226" s="18">
        <f t="shared" si="39"/>
        <v>1.5</v>
      </c>
    </row>
    <row r="227" spans="2:20" x14ac:dyDescent="0.25">
      <c r="B227" s="117" t="s">
        <v>879</v>
      </c>
      <c r="C227" s="136" t="s">
        <v>880</v>
      </c>
      <c r="D227" s="14" t="s">
        <v>15</v>
      </c>
      <c r="E227" s="14" t="s">
        <v>21</v>
      </c>
      <c r="F227" s="15">
        <v>45015</v>
      </c>
      <c r="G227" s="16">
        <v>3.2</v>
      </c>
      <c r="H227" s="15"/>
      <c r="I227" s="16"/>
      <c r="J227" s="15"/>
      <c r="K227" s="16"/>
      <c r="L227" s="15"/>
      <c r="M227" s="63"/>
      <c r="N227" s="17"/>
      <c r="O227" s="16"/>
      <c r="P227" s="16"/>
      <c r="Q227" s="152">
        <f t="shared" si="36"/>
        <v>0</v>
      </c>
      <c r="R227" s="152">
        <f t="shared" si="37"/>
        <v>3.2</v>
      </c>
      <c r="S227" s="152">
        <f t="shared" si="38"/>
        <v>3.2</v>
      </c>
      <c r="T227" s="18">
        <f t="shared" si="39"/>
        <v>3.2</v>
      </c>
    </row>
    <row r="228" spans="2:20" x14ac:dyDescent="0.25">
      <c r="B228" s="158" t="s">
        <v>850</v>
      </c>
      <c r="C228" s="159" t="s">
        <v>848</v>
      </c>
      <c r="D228" s="39" t="s">
        <v>15</v>
      </c>
      <c r="E228" s="45" t="s">
        <v>849</v>
      </c>
      <c r="F228" s="15"/>
      <c r="G228" s="16"/>
      <c r="H228" s="15"/>
      <c r="I228" s="16"/>
      <c r="J228" s="15"/>
      <c r="K228" s="16"/>
      <c r="L228" s="15"/>
      <c r="M228" s="63"/>
      <c r="N228" s="17"/>
      <c r="O228" s="16"/>
      <c r="P228" s="47"/>
      <c r="Q228" s="152">
        <f t="shared" si="36"/>
        <v>0</v>
      </c>
      <c r="R228" s="152">
        <f t="shared" si="37"/>
        <v>0</v>
      </c>
      <c r="S228" s="152">
        <f t="shared" si="38"/>
        <v>0</v>
      </c>
      <c r="T228" s="18">
        <f t="shared" si="39"/>
        <v>0</v>
      </c>
    </row>
    <row r="229" spans="2:20" x14ac:dyDescent="0.25">
      <c r="B229" s="158" t="s">
        <v>426</v>
      </c>
      <c r="C229" s="159" t="s">
        <v>427</v>
      </c>
      <c r="D229" s="39" t="s">
        <v>15</v>
      </c>
      <c r="E229" s="45" t="s">
        <v>200</v>
      </c>
      <c r="F229" s="15">
        <v>45021</v>
      </c>
      <c r="G229" s="16">
        <v>6.75</v>
      </c>
      <c r="H229" s="15"/>
      <c r="I229" s="16"/>
      <c r="J229" s="15"/>
      <c r="K229" s="16"/>
      <c r="L229" s="15"/>
      <c r="M229" s="63"/>
      <c r="N229" s="17"/>
      <c r="O229" s="16"/>
      <c r="P229" s="47"/>
      <c r="Q229" s="152">
        <f t="shared" si="36"/>
        <v>0</v>
      </c>
      <c r="R229" s="152">
        <f t="shared" si="37"/>
        <v>6.75</v>
      </c>
      <c r="S229" s="152">
        <f t="shared" si="38"/>
        <v>6.75</v>
      </c>
      <c r="T229" s="49">
        <f t="shared" si="39"/>
        <v>6.75</v>
      </c>
    </row>
    <row r="230" spans="2:20" x14ac:dyDescent="0.25">
      <c r="B230" s="158" t="s">
        <v>838</v>
      </c>
      <c r="C230" s="159" t="s">
        <v>839</v>
      </c>
      <c r="D230" s="39" t="s">
        <v>15</v>
      </c>
      <c r="E230" s="45" t="s">
        <v>200</v>
      </c>
      <c r="F230" s="15">
        <v>45015</v>
      </c>
      <c r="G230" s="16">
        <v>7.5</v>
      </c>
      <c r="H230" s="15"/>
      <c r="I230" s="16"/>
      <c r="J230" s="15"/>
      <c r="K230" s="16"/>
      <c r="L230" s="15"/>
      <c r="M230" s="63"/>
      <c r="N230" s="17"/>
      <c r="O230" s="16"/>
      <c r="P230" s="47"/>
      <c r="Q230" s="152">
        <f t="shared" si="36"/>
        <v>0</v>
      </c>
      <c r="R230" s="152">
        <f t="shared" si="37"/>
        <v>7.5</v>
      </c>
      <c r="S230" s="152">
        <f t="shared" si="38"/>
        <v>7.5</v>
      </c>
      <c r="T230" s="49">
        <f t="shared" si="39"/>
        <v>7.5</v>
      </c>
    </row>
    <row r="231" spans="2:20" x14ac:dyDescent="0.25">
      <c r="B231" s="158" t="s">
        <v>842</v>
      </c>
      <c r="C231" s="159" t="s">
        <v>843</v>
      </c>
      <c r="D231" s="39" t="s">
        <v>15</v>
      </c>
      <c r="E231" s="45" t="s">
        <v>200</v>
      </c>
      <c r="F231" s="15">
        <v>45009</v>
      </c>
      <c r="G231" s="16">
        <v>7</v>
      </c>
      <c r="H231" s="15"/>
      <c r="I231" s="16"/>
      <c r="J231" s="15"/>
      <c r="K231" s="16"/>
      <c r="L231" s="15"/>
      <c r="M231" s="63"/>
      <c r="N231" s="17"/>
      <c r="O231" s="16"/>
      <c r="P231" s="47"/>
      <c r="Q231" s="152">
        <f t="shared" si="36"/>
        <v>0</v>
      </c>
      <c r="R231" s="152">
        <f t="shared" si="37"/>
        <v>7</v>
      </c>
      <c r="S231" s="152">
        <f t="shared" si="38"/>
        <v>7</v>
      </c>
      <c r="T231" s="49">
        <f t="shared" si="39"/>
        <v>7</v>
      </c>
    </row>
    <row r="232" spans="2:20" x14ac:dyDescent="0.25">
      <c r="B232" s="117" t="s">
        <v>435</v>
      </c>
      <c r="C232" s="136" t="s">
        <v>436</v>
      </c>
      <c r="D232" s="14" t="s">
        <v>24</v>
      </c>
      <c r="E232" s="14" t="s">
        <v>16</v>
      </c>
      <c r="F232" s="15">
        <v>45076</v>
      </c>
      <c r="G232" s="16">
        <v>1.7</v>
      </c>
      <c r="H232" s="15"/>
      <c r="I232" s="16"/>
      <c r="J232" s="15"/>
      <c r="K232" s="16"/>
      <c r="L232" s="15"/>
      <c r="M232" s="63"/>
      <c r="N232" s="17"/>
      <c r="O232" s="16"/>
      <c r="P232" s="16"/>
      <c r="Q232" s="152">
        <f t="shared" si="36"/>
        <v>0</v>
      </c>
      <c r="R232" s="152">
        <f t="shared" si="37"/>
        <v>1.7</v>
      </c>
      <c r="S232" s="152">
        <f t="shared" si="38"/>
        <v>1.7</v>
      </c>
      <c r="T232" s="18">
        <f t="shared" si="39"/>
        <v>1.7</v>
      </c>
    </row>
    <row r="233" spans="2:20" x14ac:dyDescent="0.25">
      <c r="B233" s="117" t="s">
        <v>437</v>
      </c>
      <c r="C233" s="136" t="s">
        <v>438</v>
      </c>
      <c r="D233" s="14" t="s">
        <v>24</v>
      </c>
      <c r="E233" s="14" t="s">
        <v>16</v>
      </c>
      <c r="F233" s="15">
        <v>44918</v>
      </c>
      <c r="G233" s="16">
        <v>2.4</v>
      </c>
      <c r="H233" s="15"/>
      <c r="I233" s="16"/>
      <c r="J233" s="15"/>
      <c r="K233" s="16"/>
      <c r="L233" s="15"/>
      <c r="M233" s="63"/>
      <c r="N233" s="17"/>
      <c r="O233" s="16"/>
      <c r="P233" s="16"/>
      <c r="Q233" s="152">
        <f t="shared" si="36"/>
        <v>2.4</v>
      </c>
      <c r="R233" s="152">
        <f t="shared" si="37"/>
        <v>2.4</v>
      </c>
      <c r="S233" s="152">
        <f t="shared" si="38"/>
        <v>2.4</v>
      </c>
      <c r="T233" s="18">
        <f t="shared" si="39"/>
        <v>2.4</v>
      </c>
    </row>
    <row r="234" spans="2:20" x14ac:dyDescent="0.25">
      <c r="B234" s="158" t="s">
        <v>445</v>
      </c>
      <c r="C234" s="159" t="s">
        <v>446</v>
      </c>
      <c r="D234" s="45" t="s">
        <v>15</v>
      </c>
      <c r="E234" s="45" t="s">
        <v>761</v>
      </c>
      <c r="F234" s="46">
        <v>44938</v>
      </c>
      <c r="G234" s="47">
        <v>29</v>
      </c>
      <c r="H234" s="46">
        <v>45134</v>
      </c>
      <c r="I234" s="47">
        <v>67.7</v>
      </c>
      <c r="J234" s="46"/>
      <c r="K234" s="47"/>
      <c r="L234" s="46"/>
      <c r="M234" s="80"/>
      <c r="N234" s="48"/>
      <c r="O234" s="47"/>
      <c r="P234" s="47"/>
      <c r="Q234" s="160">
        <f t="shared" si="36"/>
        <v>29</v>
      </c>
      <c r="R234" s="160">
        <f t="shared" si="37"/>
        <v>29</v>
      </c>
      <c r="S234" s="160">
        <f t="shared" si="38"/>
        <v>96.7</v>
      </c>
      <c r="T234" s="49">
        <f t="shared" si="39"/>
        <v>96.7</v>
      </c>
    </row>
    <row r="235" spans="2:20" x14ac:dyDescent="0.25">
      <c r="B235" s="117" t="s">
        <v>447</v>
      </c>
      <c r="C235" s="136" t="s">
        <v>448</v>
      </c>
      <c r="D235" s="14" t="s">
        <v>15</v>
      </c>
      <c r="E235" s="14" t="s">
        <v>56</v>
      </c>
      <c r="F235" s="15">
        <v>44980</v>
      </c>
      <c r="G235" s="16">
        <v>0.14000000000000001</v>
      </c>
      <c r="H235" s="15">
        <v>45148</v>
      </c>
      <c r="I235" s="16">
        <v>0.06</v>
      </c>
      <c r="J235" s="15"/>
      <c r="K235" s="16"/>
      <c r="L235" s="15"/>
      <c r="M235" s="63"/>
      <c r="N235" s="17"/>
      <c r="O235" s="16"/>
      <c r="P235" s="16"/>
      <c r="Q235" s="152">
        <f t="shared" si="36"/>
        <v>0.14000000000000001</v>
      </c>
      <c r="R235" s="152">
        <f t="shared" si="37"/>
        <v>0.14000000000000001</v>
      </c>
      <c r="S235" s="152">
        <f t="shared" si="38"/>
        <v>0.2</v>
      </c>
      <c r="T235" s="18">
        <f t="shared" si="39"/>
        <v>0.2</v>
      </c>
    </row>
    <row r="236" spans="2:20" x14ac:dyDescent="0.25">
      <c r="B236" s="117" t="s">
        <v>733</v>
      </c>
      <c r="C236" s="136" t="s">
        <v>362</v>
      </c>
      <c r="D236" s="14" t="s">
        <v>24</v>
      </c>
      <c r="E236" s="14" t="s">
        <v>16</v>
      </c>
      <c r="F236" s="15">
        <v>45040</v>
      </c>
      <c r="G236" s="16">
        <v>1.34</v>
      </c>
      <c r="H236" s="15"/>
      <c r="I236" s="16"/>
      <c r="J236" s="15"/>
      <c r="K236" s="16"/>
      <c r="L236" s="15"/>
      <c r="M236" s="63"/>
      <c r="N236" s="17"/>
      <c r="O236" s="16"/>
      <c r="P236" s="16"/>
      <c r="Q236" s="152">
        <f t="shared" si="36"/>
        <v>0</v>
      </c>
      <c r="R236" s="152">
        <f t="shared" si="37"/>
        <v>1.34</v>
      </c>
      <c r="S236" s="152">
        <f t="shared" si="38"/>
        <v>1.34</v>
      </c>
      <c r="T236" s="18">
        <f t="shared" si="39"/>
        <v>1.34</v>
      </c>
    </row>
    <row r="237" spans="2:20" x14ac:dyDescent="0.25">
      <c r="B237" s="117" t="s">
        <v>451</v>
      </c>
      <c r="C237" s="136" t="s">
        <v>452</v>
      </c>
      <c r="D237" s="14" t="s">
        <v>15</v>
      </c>
      <c r="E237" s="14" t="s">
        <v>56</v>
      </c>
      <c r="F237" s="15">
        <v>45005</v>
      </c>
      <c r="G237" s="16">
        <v>0.06</v>
      </c>
      <c r="H237" s="15">
        <v>45103</v>
      </c>
      <c r="I237" s="16">
        <v>0.06</v>
      </c>
      <c r="J237" s="15">
        <v>45187</v>
      </c>
      <c r="K237" s="16">
        <v>0.06</v>
      </c>
      <c r="L237" s="15">
        <v>45271</v>
      </c>
      <c r="M237" s="63">
        <v>0.06</v>
      </c>
      <c r="N237" s="17"/>
      <c r="O237" s="16"/>
      <c r="P237" s="16"/>
      <c r="Q237" s="152">
        <f t="shared" si="36"/>
        <v>0</v>
      </c>
      <c r="R237" s="152">
        <f t="shared" si="37"/>
        <v>0.06</v>
      </c>
      <c r="S237" s="152">
        <f t="shared" si="38"/>
        <v>0.12</v>
      </c>
      <c r="T237" s="18">
        <f t="shared" si="39"/>
        <v>0.24</v>
      </c>
    </row>
    <row r="238" spans="2:20" x14ac:dyDescent="0.25">
      <c r="B238" s="117" t="s">
        <v>923</v>
      </c>
      <c r="C238" s="136" t="s">
        <v>924</v>
      </c>
      <c r="D238" s="14" t="s">
        <v>755</v>
      </c>
      <c r="E238" s="14" t="s">
        <v>475</v>
      </c>
      <c r="F238" s="15">
        <v>45030</v>
      </c>
      <c r="G238" s="16">
        <v>3.7</v>
      </c>
      <c r="H238" s="15"/>
      <c r="I238" s="16"/>
      <c r="J238" s="15"/>
      <c r="K238" s="16"/>
      <c r="L238" s="15"/>
      <c r="M238" s="63"/>
      <c r="N238" s="17"/>
      <c r="O238" s="16"/>
      <c r="P238" s="16"/>
      <c r="Q238" s="152">
        <f t="shared" ref="Q238" si="48">IF(F238&lt;=Exp23Q1,G238,0)+IF(H238&lt;=Exp23Q1,I238,0)+IF(J238&lt;=Exp23Q1,K238,0)+IF(L238&lt;=Exp23Q1,M238,0)+IF(N238&lt;=Exp23Q1,O238,0)</f>
        <v>0</v>
      </c>
      <c r="R238" s="152">
        <f t="shared" ref="R238" si="49">IF(F238&lt;=Exp23H1,G238,0)+IF(H238&lt;=Exp23H1,I238,0)+IF(J238&lt;=Exp23H1,K238,0)+IF(L238&lt;=Exp23H1,M238,0)+IF(N238&lt;=Exp23H1,O238,0)</f>
        <v>3.7</v>
      </c>
      <c r="S238" s="152">
        <f t="shared" ref="S238" si="50">IF(F238&lt;=Exp23Q3,G238,0)+IF(H238&lt;=Exp23Q3,I238,0)+IF(J238&lt;=Exp23Q3,K238,0)+IF(L238&lt;=Exp23Q3,M238,0)+IF(N238&lt;=Exp23Q3,O238,0)</f>
        <v>3.7</v>
      </c>
      <c r="T238" s="18">
        <f t="shared" ref="T238" si="51">G238+I238+K238+M238+O238</f>
        <v>3.7</v>
      </c>
    </row>
    <row r="239" spans="2:20" x14ac:dyDescent="0.25">
      <c r="B239" s="117" t="s">
        <v>455</v>
      </c>
      <c r="C239" s="136" t="s">
        <v>456</v>
      </c>
      <c r="D239" s="14" t="s">
        <v>15</v>
      </c>
      <c r="E239" s="14" t="s">
        <v>200</v>
      </c>
      <c r="F239" s="153">
        <v>45008</v>
      </c>
      <c r="G239" s="154">
        <f>5.5*0.97292028</f>
        <v>5.3510615399999999</v>
      </c>
      <c r="H239" s="15"/>
      <c r="I239" s="16"/>
      <c r="J239" s="15"/>
      <c r="K239" s="16"/>
      <c r="L239" s="15"/>
      <c r="M239" s="63"/>
      <c r="N239" s="17"/>
      <c r="O239" s="16"/>
      <c r="P239" s="16"/>
      <c r="Q239" s="152">
        <f t="shared" si="36"/>
        <v>0</v>
      </c>
      <c r="R239" s="152">
        <f t="shared" si="37"/>
        <v>5.3510615399999999</v>
      </c>
      <c r="S239" s="152">
        <f t="shared" si="38"/>
        <v>5.3510615399999999</v>
      </c>
      <c r="T239" s="18">
        <f t="shared" si="39"/>
        <v>5.3510615399999999</v>
      </c>
    </row>
    <row r="240" spans="2:20" x14ac:dyDescent="0.25">
      <c r="B240" s="117" t="s">
        <v>853</v>
      </c>
      <c r="C240" s="136" t="s">
        <v>854</v>
      </c>
      <c r="D240" s="14" t="s">
        <v>15</v>
      </c>
      <c r="E240" s="14" t="s">
        <v>200</v>
      </c>
      <c r="F240" s="15">
        <v>45016</v>
      </c>
      <c r="G240" s="16">
        <v>2.5</v>
      </c>
      <c r="H240" s="15"/>
      <c r="I240" s="16"/>
      <c r="J240" s="15"/>
      <c r="K240" s="16"/>
      <c r="L240" s="15"/>
      <c r="M240" s="63"/>
      <c r="N240" s="17"/>
      <c r="O240" s="16"/>
      <c r="P240" s="16"/>
      <c r="Q240" s="152">
        <f t="shared" si="36"/>
        <v>0</v>
      </c>
      <c r="R240" s="152">
        <f t="shared" si="37"/>
        <v>2.5</v>
      </c>
      <c r="S240" s="152">
        <f t="shared" si="38"/>
        <v>2.5</v>
      </c>
      <c r="T240" s="18">
        <f t="shared" si="39"/>
        <v>2.5</v>
      </c>
    </row>
    <row r="241" spans="2:20" x14ac:dyDescent="0.25">
      <c r="B241" s="117" t="s">
        <v>457</v>
      </c>
      <c r="C241" s="136" t="s">
        <v>458</v>
      </c>
      <c r="D241" s="14" t="s">
        <v>15</v>
      </c>
      <c r="E241" s="14" t="s">
        <v>200</v>
      </c>
      <c r="F241" s="15">
        <v>45016</v>
      </c>
      <c r="G241" s="16">
        <v>9.75</v>
      </c>
      <c r="H241" s="15"/>
      <c r="I241" s="16"/>
      <c r="J241" s="15"/>
      <c r="K241" s="16"/>
      <c r="L241" s="15"/>
      <c r="M241" s="63"/>
      <c r="N241" s="17"/>
      <c r="O241" s="16"/>
      <c r="P241" s="16"/>
      <c r="Q241" s="152">
        <f t="shared" si="36"/>
        <v>0</v>
      </c>
      <c r="R241" s="152">
        <f t="shared" si="37"/>
        <v>9.75</v>
      </c>
      <c r="S241" s="152">
        <f t="shared" si="38"/>
        <v>9.75</v>
      </c>
      <c r="T241" s="18">
        <f t="shared" si="39"/>
        <v>9.75</v>
      </c>
    </row>
    <row r="242" spans="2:20" x14ac:dyDescent="0.25">
      <c r="B242" s="117" t="s">
        <v>461</v>
      </c>
      <c r="C242" s="136" t="s">
        <v>462</v>
      </c>
      <c r="D242" s="14" t="s">
        <v>15</v>
      </c>
      <c r="E242" s="14" t="s">
        <v>21</v>
      </c>
      <c r="F242" s="15">
        <v>45030</v>
      </c>
      <c r="G242" s="16">
        <f>6.4/1.1015*0.9804</f>
        <v>5.6963776668179769</v>
      </c>
      <c r="H242" s="15"/>
      <c r="I242" s="16"/>
      <c r="J242" s="15"/>
      <c r="K242" s="16"/>
      <c r="L242" s="15"/>
      <c r="M242" s="63"/>
      <c r="N242" s="17"/>
      <c r="O242" s="16"/>
      <c r="P242" s="16"/>
      <c r="Q242" s="152">
        <f t="shared" si="36"/>
        <v>0</v>
      </c>
      <c r="R242" s="152">
        <f t="shared" si="37"/>
        <v>5.6963776668179769</v>
      </c>
      <c r="S242" s="152">
        <f t="shared" si="38"/>
        <v>5.6963776668179769</v>
      </c>
      <c r="T242" s="18">
        <f t="shared" si="39"/>
        <v>5.6963776668179769</v>
      </c>
    </row>
    <row r="243" spans="2:20" x14ac:dyDescent="0.25">
      <c r="B243" s="117" t="s">
        <v>463</v>
      </c>
      <c r="C243" s="136" t="s">
        <v>464</v>
      </c>
      <c r="D243" s="14" t="s">
        <v>15</v>
      </c>
      <c r="E243" s="14" t="s">
        <v>21</v>
      </c>
      <c r="F243" s="15">
        <v>45015</v>
      </c>
      <c r="G243" s="16">
        <v>22</v>
      </c>
      <c r="H243" s="15"/>
      <c r="I243" s="16"/>
      <c r="J243" s="15"/>
      <c r="K243" s="16"/>
      <c r="L243" s="15"/>
      <c r="M243" s="63"/>
      <c r="N243" s="17"/>
      <c r="O243" s="16"/>
      <c r="P243" s="16"/>
      <c r="Q243" s="152">
        <f t="shared" si="36"/>
        <v>0</v>
      </c>
      <c r="R243" s="152">
        <f t="shared" si="37"/>
        <v>22</v>
      </c>
      <c r="S243" s="152">
        <f t="shared" si="38"/>
        <v>22</v>
      </c>
      <c r="T243" s="18">
        <f t="shared" si="39"/>
        <v>22</v>
      </c>
    </row>
    <row r="244" spans="2:20" x14ac:dyDescent="0.25">
      <c r="B244" s="117" t="s">
        <v>467</v>
      </c>
      <c r="C244" s="136" t="s">
        <v>468</v>
      </c>
      <c r="D244" s="14" t="s">
        <v>15</v>
      </c>
      <c r="E244" s="14" t="s">
        <v>200</v>
      </c>
      <c r="F244" s="15">
        <v>45062</v>
      </c>
      <c r="G244" s="16">
        <v>3.4</v>
      </c>
      <c r="H244" s="15">
        <v>45208</v>
      </c>
      <c r="I244" s="16">
        <v>3.4</v>
      </c>
      <c r="J244" s="15"/>
      <c r="K244" s="16"/>
      <c r="L244" s="15"/>
      <c r="M244" s="63"/>
      <c r="N244" s="17"/>
      <c r="O244" s="16"/>
      <c r="P244" s="16"/>
      <c r="Q244" s="152">
        <f t="shared" si="36"/>
        <v>0</v>
      </c>
      <c r="R244" s="152">
        <f t="shared" si="37"/>
        <v>3.4</v>
      </c>
      <c r="S244" s="152">
        <f t="shared" si="38"/>
        <v>3.4</v>
      </c>
      <c r="T244" s="18">
        <f t="shared" si="39"/>
        <v>6.8</v>
      </c>
    </row>
    <row r="245" spans="2:20" x14ac:dyDescent="0.25">
      <c r="B245" s="117" t="s">
        <v>471</v>
      </c>
      <c r="C245" s="136" t="s">
        <v>472</v>
      </c>
      <c r="D245" s="14" t="s">
        <v>15</v>
      </c>
      <c r="E245" s="14" t="s">
        <v>16</v>
      </c>
      <c r="F245" s="15">
        <v>45090</v>
      </c>
      <c r="G245" s="16">
        <v>0.15</v>
      </c>
      <c r="H245" s="15">
        <v>45272</v>
      </c>
      <c r="I245" s="16">
        <v>0.15</v>
      </c>
      <c r="J245" s="15"/>
      <c r="K245" s="16"/>
      <c r="L245" s="15"/>
      <c r="M245" s="63"/>
      <c r="N245" s="17"/>
      <c r="O245" s="16"/>
      <c r="P245" s="16"/>
      <c r="Q245" s="152">
        <f t="shared" si="36"/>
        <v>0</v>
      </c>
      <c r="R245" s="152">
        <f t="shared" si="37"/>
        <v>0.15</v>
      </c>
      <c r="S245" s="152">
        <f t="shared" si="38"/>
        <v>0.15</v>
      </c>
      <c r="T245" s="18">
        <f t="shared" si="39"/>
        <v>0.3</v>
      </c>
    </row>
    <row r="246" spans="2:20" x14ac:dyDescent="0.25">
      <c r="B246" s="117" t="s">
        <v>473</v>
      </c>
      <c r="C246" s="136" t="s">
        <v>669</v>
      </c>
      <c r="D246" s="14" t="s">
        <v>755</v>
      </c>
      <c r="E246" s="14" t="s">
        <v>475</v>
      </c>
      <c r="F246" s="15">
        <v>45057</v>
      </c>
      <c r="G246" s="16">
        <v>5</v>
      </c>
      <c r="H246" s="15">
        <v>45218</v>
      </c>
      <c r="I246" s="16">
        <v>4.4000000000000004</v>
      </c>
      <c r="J246" s="15"/>
      <c r="K246" s="16"/>
      <c r="L246" s="15"/>
      <c r="M246" s="63"/>
      <c r="N246" s="17"/>
      <c r="O246" s="16"/>
      <c r="P246" s="16"/>
      <c r="Q246" s="152">
        <f t="shared" si="36"/>
        <v>0</v>
      </c>
      <c r="R246" s="152">
        <f t="shared" si="37"/>
        <v>5</v>
      </c>
      <c r="S246" s="152">
        <f t="shared" si="38"/>
        <v>5</v>
      </c>
      <c r="T246" s="18">
        <f t="shared" si="39"/>
        <v>9.4</v>
      </c>
    </row>
    <row r="247" spans="2:20" x14ac:dyDescent="0.25">
      <c r="B247" s="117" t="s">
        <v>476</v>
      </c>
      <c r="C247" s="136" t="s">
        <v>477</v>
      </c>
      <c r="D247" s="14" t="s">
        <v>15</v>
      </c>
      <c r="E247" s="14" t="s">
        <v>200</v>
      </c>
      <c r="F247" s="15">
        <v>45022</v>
      </c>
      <c r="G247" s="16">
        <v>0.5</v>
      </c>
      <c r="H247" s="15">
        <v>45135</v>
      </c>
      <c r="I247" s="16">
        <v>0.5</v>
      </c>
      <c r="J247" s="15">
        <v>45224</v>
      </c>
      <c r="K247" s="16">
        <v>0.5</v>
      </c>
      <c r="L247" s="15"/>
      <c r="M247" s="63"/>
      <c r="N247" s="17"/>
      <c r="O247" s="16"/>
      <c r="P247" s="16"/>
      <c r="Q247" s="152">
        <f t="shared" si="36"/>
        <v>0</v>
      </c>
      <c r="R247" s="152">
        <f t="shared" si="37"/>
        <v>0.5</v>
      </c>
      <c r="S247" s="152">
        <f t="shared" si="38"/>
        <v>1</v>
      </c>
      <c r="T247" s="18">
        <f t="shared" si="39"/>
        <v>1.5</v>
      </c>
    </row>
    <row r="248" spans="2:20" x14ac:dyDescent="0.25">
      <c r="B248" s="117" t="s">
        <v>932</v>
      </c>
      <c r="C248" s="136" t="s">
        <v>933</v>
      </c>
      <c r="D248" s="14" t="s">
        <v>15</v>
      </c>
      <c r="E248" s="14" t="s">
        <v>56</v>
      </c>
      <c r="F248" s="15">
        <v>44973</v>
      </c>
      <c r="G248" s="16">
        <v>0.14000000000000001</v>
      </c>
      <c r="H248" s="15">
        <v>45068</v>
      </c>
      <c r="I248" s="16">
        <v>0.14000000000000001</v>
      </c>
      <c r="J248" s="15">
        <v>45134</v>
      </c>
      <c r="K248" s="16">
        <v>0.14000000000000001</v>
      </c>
      <c r="L248" s="15">
        <v>45232</v>
      </c>
      <c r="M248" s="63">
        <v>0.14000000000000001</v>
      </c>
      <c r="N248" s="17"/>
      <c r="O248" s="16"/>
      <c r="P248" s="16"/>
      <c r="Q248" s="152">
        <f t="shared" si="36"/>
        <v>0.14000000000000001</v>
      </c>
      <c r="R248" s="152">
        <f t="shared" si="37"/>
        <v>0.28000000000000003</v>
      </c>
      <c r="S248" s="152">
        <f t="shared" si="38"/>
        <v>0.42000000000000004</v>
      </c>
      <c r="T248" s="18">
        <f t="shared" si="39"/>
        <v>0.56000000000000005</v>
      </c>
    </row>
    <row r="249" spans="2:20" x14ac:dyDescent="0.25">
      <c r="B249" s="117" t="s">
        <v>892</v>
      </c>
      <c r="C249" s="136" t="s">
        <v>893</v>
      </c>
      <c r="D249" s="14" t="s">
        <v>24</v>
      </c>
      <c r="E249" s="14" t="s">
        <v>16</v>
      </c>
      <c r="F249" s="15">
        <v>45069</v>
      </c>
      <c r="G249" s="16">
        <v>2.2400000000000002</v>
      </c>
      <c r="H249" s="15">
        <v>45265</v>
      </c>
      <c r="I249" s="16">
        <v>0.8</v>
      </c>
      <c r="J249" s="15"/>
      <c r="K249" s="16"/>
      <c r="L249" s="15"/>
      <c r="M249" s="63"/>
      <c r="N249" s="17"/>
      <c r="O249" s="16"/>
      <c r="P249" s="16"/>
      <c r="Q249" s="152">
        <f t="shared" si="36"/>
        <v>0</v>
      </c>
      <c r="R249" s="152">
        <f t="shared" si="37"/>
        <v>2.2400000000000002</v>
      </c>
      <c r="S249" s="152">
        <f t="shared" si="38"/>
        <v>2.2400000000000002</v>
      </c>
      <c r="T249" s="18">
        <f t="shared" si="39"/>
        <v>3.04</v>
      </c>
    </row>
    <row r="250" spans="2:20" x14ac:dyDescent="0.25">
      <c r="B250" s="117" t="s">
        <v>480</v>
      </c>
      <c r="C250" s="136" t="s">
        <v>481</v>
      </c>
      <c r="D250" s="14" t="s">
        <v>237</v>
      </c>
      <c r="E250" s="14" t="s">
        <v>16</v>
      </c>
      <c r="F250" s="15">
        <v>45075</v>
      </c>
      <c r="G250" s="16">
        <v>0.28120000000000001</v>
      </c>
      <c r="H250" s="15"/>
      <c r="I250" s="16"/>
      <c r="J250" s="15"/>
      <c r="K250" s="16"/>
      <c r="L250" s="15"/>
      <c r="M250" s="63"/>
      <c r="N250" s="17"/>
      <c r="O250" s="16"/>
      <c r="P250" s="16"/>
      <c r="Q250" s="152">
        <f t="shared" si="36"/>
        <v>0</v>
      </c>
      <c r="R250" s="152">
        <f t="shared" si="37"/>
        <v>0.28120000000000001</v>
      </c>
      <c r="S250" s="152">
        <f t="shared" si="38"/>
        <v>0.28120000000000001</v>
      </c>
      <c r="T250" s="18">
        <f t="shared" si="39"/>
        <v>0.28120000000000001</v>
      </c>
    </row>
    <row r="251" spans="2:20" x14ac:dyDescent="0.25">
      <c r="B251" s="117" t="s">
        <v>482</v>
      </c>
      <c r="C251" s="136" t="s">
        <v>483</v>
      </c>
      <c r="D251" s="14" t="s">
        <v>15</v>
      </c>
      <c r="E251" s="14" t="s">
        <v>21</v>
      </c>
      <c r="F251" s="15">
        <v>45058</v>
      </c>
      <c r="G251" s="16">
        <v>6</v>
      </c>
      <c r="H251" s="15"/>
      <c r="I251" s="16"/>
      <c r="J251" s="15"/>
      <c r="K251" s="16"/>
      <c r="L251" s="15"/>
      <c r="M251" s="63"/>
      <c r="N251" s="17"/>
      <c r="O251" s="16"/>
      <c r="P251" s="16"/>
      <c r="Q251" s="152">
        <f t="shared" si="36"/>
        <v>0</v>
      </c>
      <c r="R251" s="152">
        <f t="shared" si="37"/>
        <v>6</v>
      </c>
      <c r="S251" s="152">
        <f t="shared" si="38"/>
        <v>6</v>
      </c>
      <c r="T251" s="18">
        <f t="shared" si="39"/>
        <v>6</v>
      </c>
    </row>
    <row r="252" spans="2:20" x14ac:dyDescent="0.25">
      <c r="B252" s="117" t="s">
        <v>484</v>
      </c>
      <c r="C252" s="136" t="s">
        <v>485</v>
      </c>
      <c r="D252" s="14" t="s">
        <v>15</v>
      </c>
      <c r="E252" s="14" t="s">
        <v>16</v>
      </c>
      <c r="F252" s="15">
        <v>44963</v>
      </c>
      <c r="G252" s="16">
        <v>0.15</v>
      </c>
      <c r="H252" s="15"/>
      <c r="I252" s="16"/>
      <c r="J252" s="15"/>
      <c r="K252" s="16"/>
      <c r="L252" s="15"/>
      <c r="M252" s="63"/>
      <c r="N252" s="17"/>
      <c r="O252" s="16"/>
      <c r="P252" s="16"/>
      <c r="Q252" s="152">
        <f t="shared" si="36"/>
        <v>0.15</v>
      </c>
      <c r="R252" s="152">
        <f t="shared" si="37"/>
        <v>0.15</v>
      </c>
      <c r="S252" s="152">
        <f t="shared" si="38"/>
        <v>0.15</v>
      </c>
      <c r="T252" s="18">
        <f t="shared" si="39"/>
        <v>0.15</v>
      </c>
    </row>
    <row r="253" spans="2:20" x14ac:dyDescent="0.25">
      <c r="B253" s="117" t="s">
        <v>776</v>
      </c>
      <c r="C253" s="136" t="s">
        <v>489</v>
      </c>
      <c r="D253" s="14" t="s">
        <v>24</v>
      </c>
      <c r="E253" s="14" t="s">
        <v>16</v>
      </c>
      <c r="F253" s="15">
        <v>44929</v>
      </c>
      <c r="G253" s="16">
        <v>0.69</v>
      </c>
      <c r="H253" s="15">
        <v>45007</v>
      </c>
      <c r="I253" s="16">
        <v>0.69</v>
      </c>
      <c r="J253" s="15">
        <v>45098</v>
      </c>
      <c r="K253" s="16">
        <v>0.74</v>
      </c>
      <c r="L253" s="15">
        <v>45189</v>
      </c>
      <c r="M253" s="63">
        <v>0.74</v>
      </c>
      <c r="N253" s="17"/>
      <c r="O253" s="16"/>
      <c r="P253" s="16"/>
      <c r="Q253" s="152">
        <f t="shared" si="36"/>
        <v>0.69</v>
      </c>
      <c r="R253" s="152">
        <f t="shared" si="37"/>
        <v>1.38</v>
      </c>
      <c r="S253" s="152">
        <f t="shared" si="38"/>
        <v>2.12</v>
      </c>
      <c r="T253" s="18">
        <f t="shared" si="39"/>
        <v>2.8600000000000003</v>
      </c>
    </row>
    <row r="254" spans="2:20" x14ac:dyDescent="0.25">
      <c r="B254" s="117" t="s">
        <v>904</v>
      </c>
      <c r="C254" s="136" t="s">
        <v>905</v>
      </c>
      <c r="D254" s="14" t="s">
        <v>15</v>
      </c>
      <c r="E254" s="14" t="s">
        <v>200</v>
      </c>
      <c r="F254" s="15">
        <v>45044</v>
      </c>
      <c r="G254" s="16">
        <v>6</v>
      </c>
      <c r="H254" s="15"/>
      <c r="I254" s="16"/>
      <c r="J254" s="15"/>
      <c r="K254" s="16"/>
      <c r="L254" s="15"/>
      <c r="M254" s="63"/>
      <c r="N254" s="17"/>
      <c r="O254" s="16"/>
      <c r="P254" s="16"/>
      <c r="Q254" s="152">
        <f t="shared" si="36"/>
        <v>0</v>
      </c>
      <c r="R254" s="152">
        <f t="shared" si="37"/>
        <v>6</v>
      </c>
      <c r="S254" s="152">
        <f t="shared" si="38"/>
        <v>6</v>
      </c>
      <c r="T254" s="18">
        <f t="shared" si="39"/>
        <v>6</v>
      </c>
    </row>
    <row r="255" spans="2:20" x14ac:dyDescent="0.25">
      <c r="B255" s="117" t="s">
        <v>492</v>
      </c>
      <c r="C255" s="136" t="s">
        <v>493</v>
      </c>
      <c r="D255" s="14" t="s">
        <v>15</v>
      </c>
      <c r="E255" s="14" t="s">
        <v>21</v>
      </c>
      <c r="F255" s="15">
        <v>45028</v>
      </c>
      <c r="G255" s="16">
        <f>0.55/1.0905*0.9868</f>
        <v>0.49769830353049066</v>
      </c>
      <c r="H255" s="15"/>
      <c r="I255" s="16"/>
      <c r="J255" s="15"/>
      <c r="K255" s="16"/>
      <c r="L255" s="15"/>
      <c r="M255" s="63"/>
      <c r="N255" s="17"/>
      <c r="O255" s="16"/>
      <c r="P255" s="16"/>
      <c r="Q255" s="152">
        <f t="shared" si="36"/>
        <v>0</v>
      </c>
      <c r="R255" s="152">
        <f t="shared" si="37"/>
        <v>0.49769830353049066</v>
      </c>
      <c r="S255" s="152">
        <f t="shared" si="38"/>
        <v>0.49769830353049066</v>
      </c>
      <c r="T255" s="18">
        <f t="shared" si="39"/>
        <v>0.49769830353049066</v>
      </c>
    </row>
    <row r="256" spans="2:20" x14ac:dyDescent="0.25">
      <c r="B256" s="117" t="s">
        <v>494</v>
      </c>
      <c r="C256" s="136" t="s">
        <v>495</v>
      </c>
      <c r="D256" s="14" t="s">
        <v>27</v>
      </c>
      <c r="E256" s="14" t="s">
        <v>16</v>
      </c>
      <c r="F256" s="15">
        <v>45044</v>
      </c>
      <c r="G256" s="16">
        <v>1.33</v>
      </c>
      <c r="H256" s="15"/>
      <c r="I256" s="16"/>
      <c r="J256" s="15"/>
      <c r="K256" s="16"/>
      <c r="L256" s="15"/>
      <c r="M256" s="63"/>
      <c r="N256" s="17"/>
      <c r="O256" s="16"/>
      <c r="P256" s="16"/>
      <c r="Q256" s="152">
        <f t="shared" ref="Q256:Q282" si="52">IF(F256&lt;=Exp23Q1,G256,0)+IF(H256&lt;=Exp23Q1,I256,0)+IF(J256&lt;=Exp23Q1,K256,0)+IF(L256&lt;=Exp23Q1,M256,0)+IF(N256&lt;=Exp23Q1,O256,0)</f>
        <v>0</v>
      </c>
      <c r="R256" s="152">
        <f t="shared" ref="R256:R282" si="53">IF(F256&lt;=Exp23H1,G256,0)+IF(H256&lt;=Exp23H1,I256,0)+IF(J256&lt;=Exp23H1,K256,0)+IF(L256&lt;=Exp23H1,M256,0)+IF(N256&lt;=Exp23H1,O256,0)</f>
        <v>1.33</v>
      </c>
      <c r="S256" s="152">
        <f t="shared" ref="S256:S282" si="54">IF(F256&lt;=Exp23Q3,G256,0)+IF(H256&lt;=Exp23Q3,I256,0)+IF(J256&lt;=Exp23Q3,K256,0)+IF(L256&lt;=Exp23Q3,M256,0)+IF(N256&lt;=Exp23Q3,O256,0)</f>
        <v>1.33</v>
      </c>
      <c r="T256" s="18">
        <f>G256+I256+K256+M256+O256</f>
        <v>1.33</v>
      </c>
    </row>
    <row r="257" spans="2:20" x14ac:dyDescent="0.25">
      <c r="B257" s="117" t="s">
        <v>496</v>
      </c>
      <c r="C257" s="136" t="s">
        <v>497</v>
      </c>
      <c r="D257" s="14" t="s">
        <v>27</v>
      </c>
      <c r="E257" s="14" t="s">
        <v>16</v>
      </c>
      <c r="F257" s="15">
        <v>45048</v>
      </c>
      <c r="G257" s="16">
        <v>0.55000000000000004</v>
      </c>
      <c r="H257" s="15">
        <v>45156</v>
      </c>
      <c r="I257" s="16">
        <v>0.25</v>
      </c>
      <c r="J257" s="15"/>
      <c r="K257" s="16"/>
      <c r="L257" s="15"/>
      <c r="M257" s="63"/>
      <c r="N257" s="17"/>
      <c r="O257" s="16"/>
      <c r="P257" s="16"/>
      <c r="Q257" s="152">
        <f t="shared" si="52"/>
        <v>0</v>
      </c>
      <c r="R257" s="152">
        <f t="shared" si="53"/>
        <v>0.55000000000000004</v>
      </c>
      <c r="S257" s="152">
        <f t="shared" si="54"/>
        <v>0.8</v>
      </c>
      <c r="T257" s="18">
        <f t="shared" si="39"/>
        <v>0.8</v>
      </c>
    </row>
    <row r="258" spans="2:20" x14ac:dyDescent="0.25">
      <c r="B258" s="117" t="s">
        <v>622</v>
      </c>
      <c r="C258" s="136" t="s">
        <v>499</v>
      </c>
      <c r="D258" s="14" t="s">
        <v>15</v>
      </c>
      <c r="E258" s="14" t="s">
        <v>16</v>
      </c>
      <c r="F258" s="15"/>
      <c r="G258" s="16"/>
      <c r="H258" s="15"/>
      <c r="I258" s="16"/>
      <c r="J258" s="15"/>
      <c r="K258" s="16"/>
      <c r="L258" s="15"/>
      <c r="M258" s="63"/>
      <c r="N258" s="17"/>
      <c r="O258" s="16"/>
      <c r="P258" s="16"/>
      <c r="Q258" s="152">
        <f t="shared" si="52"/>
        <v>0</v>
      </c>
      <c r="R258" s="152">
        <f t="shared" si="53"/>
        <v>0</v>
      </c>
      <c r="S258" s="152">
        <f t="shared" si="54"/>
        <v>0</v>
      </c>
      <c r="T258" s="18">
        <f t="shared" si="39"/>
        <v>0</v>
      </c>
    </row>
    <row r="259" spans="2:20" x14ac:dyDescent="0.25">
      <c r="B259" s="117" t="s">
        <v>504</v>
      </c>
      <c r="C259" s="136" t="s">
        <v>505</v>
      </c>
      <c r="D259" s="14" t="s">
        <v>15</v>
      </c>
      <c r="E259" s="14" t="s">
        <v>16</v>
      </c>
      <c r="F259" s="15">
        <v>44980</v>
      </c>
      <c r="G259" s="16">
        <v>0.42680000000000001</v>
      </c>
      <c r="H259" s="15">
        <v>45064</v>
      </c>
      <c r="I259" s="16">
        <v>0.42680000000000001</v>
      </c>
      <c r="J259" s="15">
        <v>45141</v>
      </c>
      <c r="K259" s="16">
        <v>0.42680000000000001</v>
      </c>
      <c r="L259" s="15">
        <v>45246</v>
      </c>
      <c r="M259" s="63">
        <v>0.42680000000000001</v>
      </c>
      <c r="N259" s="17"/>
      <c r="O259" s="16"/>
      <c r="P259" s="16"/>
      <c r="Q259" s="152">
        <f t="shared" si="52"/>
        <v>0.42680000000000001</v>
      </c>
      <c r="R259" s="152">
        <f t="shared" si="53"/>
        <v>0.85360000000000003</v>
      </c>
      <c r="S259" s="152">
        <f t="shared" si="54"/>
        <v>1.2804</v>
      </c>
      <c r="T259" s="18">
        <f t="shared" si="39"/>
        <v>1.7072000000000001</v>
      </c>
    </row>
    <row r="260" spans="2:20" x14ac:dyDescent="0.25">
      <c r="B260" s="117" t="s">
        <v>510</v>
      </c>
      <c r="C260" s="136" t="s">
        <v>511</v>
      </c>
      <c r="D260" s="14" t="s">
        <v>15</v>
      </c>
      <c r="E260" s="14" t="s">
        <v>761</v>
      </c>
      <c r="F260" s="15">
        <v>44917</v>
      </c>
      <c r="G260" s="16">
        <v>15.17</v>
      </c>
      <c r="H260" s="15">
        <v>45099</v>
      </c>
      <c r="I260" s="16">
        <v>30.34</v>
      </c>
      <c r="J260" s="15"/>
      <c r="K260" s="16"/>
      <c r="L260" s="15"/>
      <c r="M260" s="63"/>
      <c r="N260" s="17"/>
      <c r="O260" s="16"/>
      <c r="P260" s="16"/>
      <c r="Q260" s="152">
        <f t="shared" si="52"/>
        <v>15.17</v>
      </c>
      <c r="R260" s="152">
        <f t="shared" si="53"/>
        <v>15.17</v>
      </c>
      <c r="S260" s="152">
        <f t="shared" si="54"/>
        <v>45.51</v>
      </c>
      <c r="T260" s="18">
        <f t="shared" si="39"/>
        <v>45.51</v>
      </c>
    </row>
    <row r="261" spans="2:20" x14ac:dyDescent="0.25">
      <c r="B261" s="117" t="s">
        <v>692</v>
      </c>
      <c r="C261" s="136" t="s">
        <v>693</v>
      </c>
      <c r="D261" s="14" t="s">
        <v>15</v>
      </c>
      <c r="E261" s="14" t="s">
        <v>16</v>
      </c>
      <c r="F261" s="15">
        <v>45092</v>
      </c>
      <c r="G261" s="16">
        <v>0.55000000000000004</v>
      </c>
      <c r="H261" s="15"/>
      <c r="I261" s="16"/>
      <c r="J261" s="15"/>
      <c r="K261" s="16"/>
      <c r="L261" s="15"/>
      <c r="M261" s="63"/>
      <c r="N261" s="17"/>
      <c r="O261" s="16"/>
      <c r="P261" s="143"/>
      <c r="Q261" s="152">
        <f t="shared" si="52"/>
        <v>0</v>
      </c>
      <c r="R261" s="152">
        <f t="shared" si="53"/>
        <v>0.55000000000000004</v>
      </c>
      <c r="S261" s="152">
        <f t="shared" si="54"/>
        <v>0.55000000000000004</v>
      </c>
      <c r="T261" s="145">
        <f t="shared" si="39"/>
        <v>0.55000000000000004</v>
      </c>
    </row>
    <row r="262" spans="2:20" x14ac:dyDescent="0.25">
      <c r="B262" s="117" t="s">
        <v>794</v>
      </c>
      <c r="C262" s="136" t="s">
        <v>795</v>
      </c>
      <c r="D262" s="14" t="s">
        <v>15</v>
      </c>
      <c r="E262" s="14" t="s">
        <v>16</v>
      </c>
      <c r="F262" s="15">
        <v>45061</v>
      </c>
      <c r="G262" s="16">
        <v>0.27</v>
      </c>
      <c r="H262" s="15">
        <v>45203</v>
      </c>
      <c r="I262" s="16">
        <v>0.24</v>
      </c>
      <c r="J262" s="15"/>
      <c r="K262" s="16"/>
      <c r="L262" s="15"/>
      <c r="M262" s="63"/>
      <c r="N262" s="17"/>
      <c r="O262" s="16"/>
      <c r="P262" s="143"/>
      <c r="Q262" s="152">
        <f t="shared" si="52"/>
        <v>0</v>
      </c>
      <c r="R262" s="152">
        <f t="shared" si="53"/>
        <v>0.27</v>
      </c>
      <c r="S262" s="152">
        <f t="shared" si="54"/>
        <v>0.27</v>
      </c>
      <c r="T262" s="145">
        <f t="shared" si="39"/>
        <v>0.51</v>
      </c>
    </row>
    <row r="263" spans="2:20" x14ac:dyDescent="0.25">
      <c r="B263" s="117" t="s">
        <v>512</v>
      </c>
      <c r="C263" s="136" t="s">
        <v>513</v>
      </c>
      <c r="D263" s="14" t="s">
        <v>24</v>
      </c>
      <c r="E263" s="14" t="s">
        <v>16</v>
      </c>
      <c r="F263" s="15">
        <v>45075</v>
      </c>
      <c r="G263" s="16">
        <v>0.38</v>
      </c>
      <c r="H263" s="15"/>
      <c r="I263" s="16"/>
      <c r="J263" s="15"/>
      <c r="K263" s="16"/>
      <c r="L263" s="15"/>
      <c r="M263" s="63"/>
      <c r="N263" s="17"/>
      <c r="O263" s="16"/>
      <c r="P263" s="16"/>
      <c r="Q263" s="152">
        <f t="shared" si="52"/>
        <v>0</v>
      </c>
      <c r="R263" s="152">
        <f t="shared" si="53"/>
        <v>0.38</v>
      </c>
      <c r="S263" s="152">
        <f t="shared" si="54"/>
        <v>0.38</v>
      </c>
      <c r="T263" s="18">
        <f t="shared" si="39"/>
        <v>0.38</v>
      </c>
    </row>
    <row r="264" spans="2:20" x14ac:dyDescent="0.25">
      <c r="B264" s="117" t="s">
        <v>514</v>
      </c>
      <c r="C264" s="136" t="s">
        <v>515</v>
      </c>
      <c r="D264" s="14" t="s">
        <v>24</v>
      </c>
      <c r="E264" s="14" t="s">
        <v>16</v>
      </c>
      <c r="F264" s="15"/>
      <c r="G264" s="16"/>
      <c r="H264" s="15"/>
      <c r="I264" s="16"/>
      <c r="J264" s="15"/>
      <c r="K264" s="16"/>
      <c r="L264" s="15"/>
      <c r="M264" s="63"/>
      <c r="N264" s="17"/>
      <c r="O264" s="16"/>
      <c r="P264" s="16"/>
      <c r="Q264" s="152">
        <f t="shared" si="52"/>
        <v>0</v>
      </c>
      <c r="R264" s="152">
        <f t="shared" si="53"/>
        <v>0</v>
      </c>
      <c r="S264" s="152">
        <f t="shared" si="54"/>
        <v>0</v>
      </c>
      <c r="T264" s="18">
        <f t="shared" si="39"/>
        <v>0</v>
      </c>
    </row>
    <row r="265" spans="2:20" x14ac:dyDescent="0.25">
      <c r="B265" s="117" t="s">
        <v>908</v>
      </c>
      <c r="C265" s="136" t="s">
        <v>328</v>
      </c>
      <c r="D265" s="14" t="s">
        <v>15</v>
      </c>
      <c r="E265" s="14" t="s">
        <v>16</v>
      </c>
      <c r="F265" s="15">
        <v>45008</v>
      </c>
      <c r="G265" s="16">
        <v>0.65</v>
      </c>
      <c r="H265" s="15">
        <v>45198</v>
      </c>
      <c r="I265" s="16">
        <v>0.65</v>
      </c>
      <c r="J265" s="15"/>
      <c r="K265" s="16"/>
      <c r="L265" s="15"/>
      <c r="M265" s="63"/>
      <c r="N265" s="17"/>
      <c r="O265" s="16"/>
      <c r="P265" s="16"/>
      <c r="Q265" s="152">
        <f t="shared" si="52"/>
        <v>0</v>
      </c>
      <c r="R265" s="152">
        <f t="shared" si="53"/>
        <v>0.65</v>
      </c>
      <c r="S265" s="152">
        <f t="shared" si="54"/>
        <v>0.65</v>
      </c>
      <c r="T265" s="18">
        <f t="shared" ref="T265" si="55">G265+I265+K265+M265+O265</f>
        <v>1.3</v>
      </c>
    </row>
    <row r="266" spans="2:20" x14ac:dyDescent="0.25">
      <c r="B266" s="117" t="s">
        <v>925</v>
      </c>
      <c r="C266" s="136" t="s">
        <v>926</v>
      </c>
      <c r="D266" s="14" t="s">
        <v>755</v>
      </c>
      <c r="E266" s="14" t="s">
        <v>475</v>
      </c>
      <c r="F266" s="15">
        <v>44981</v>
      </c>
      <c r="G266" s="16">
        <v>1.226</v>
      </c>
      <c r="H266" s="15">
        <v>45049</v>
      </c>
      <c r="I266" s="16">
        <v>1.1479999999999999</v>
      </c>
      <c r="J266" s="15">
        <v>45142</v>
      </c>
      <c r="K266" s="16">
        <v>1.091</v>
      </c>
      <c r="L266" s="15">
        <v>45233</v>
      </c>
      <c r="M266" s="63">
        <v>1.204</v>
      </c>
      <c r="N266" s="17"/>
      <c r="O266" s="16"/>
      <c r="P266" s="16"/>
      <c r="Q266" s="152">
        <f t="shared" ref="Q266" si="56">IF(F266&lt;=Exp23Q1,G266,0)+IF(H266&lt;=Exp23Q1,I266,0)+IF(J266&lt;=Exp23Q1,K266,0)+IF(L266&lt;=Exp23Q1,M266,0)+IF(N266&lt;=Exp23Q1,O266,0)</f>
        <v>1.226</v>
      </c>
      <c r="R266" s="152">
        <f t="shared" ref="R266" si="57">IF(F266&lt;=Exp23H1,G266,0)+IF(H266&lt;=Exp23H1,I266,0)+IF(J266&lt;=Exp23H1,K266,0)+IF(L266&lt;=Exp23H1,M266,0)+IF(N266&lt;=Exp23H1,O266,0)</f>
        <v>2.3739999999999997</v>
      </c>
      <c r="S266" s="152">
        <f t="shared" ref="S266" si="58">IF(F266&lt;=Exp23Q3,G266,0)+IF(H266&lt;=Exp23Q3,I266,0)+IF(J266&lt;=Exp23Q3,K266,0)+IF(L266&lt;=Exp23Q3,M266,0)+IF(N266&lt;=Exp23Q3,O266,0)</f>
        <v>3.4649999999999999</v>
      </c>
      <c r="T266" s="18">
        <f t="shared" ref="T266" si="59">G266+I266+K266+M266+O266</f>
        <v>4.6689999999999996</v>
      </c>
    </row>
    <row r="267" spans="2:20" x14ac:dyDescent="0.25">
      <c r="B267" s="117" t="s">
        <v>516</v>
      </c>
      <c r="C267" s="136" t="s">
        <v>517</v>
      </c>
      <c r="D267" s="14" t="s">
        <v>24</v>
      </c>
      <c r="E267" s="14" t="s">
        <v>16</v>
      </c>
      <c r="F267" s="15">
        <v>45055</v>
      </c>
      <c r="G267" s="16">
        <v>1.1200000000000001</v>
      </c>
      <c r="H267" s="15"/>
      <c r="I267" s="16"/>
      <c r="J267" s="15"/>
      <c r="K267" s="16"/>
      <c r="L267" s="15"/>
      <c r="M267" s="63"/>
      <c r="N267" s="17"/>
      <c r="O267" s="16"/>
      <c r="P267" s="16"/>
      <c r="Q267" s="152">
        <f t="shared" si="52"/>
        <v>0</v>
      </c>
      <c r="R267" s="152">
        <f t="shared" si="53"/>
        <v>1.1200000000000001</v>
      </c>
      <c r="S267" s="152">
        <f t="shared" si="54"/>
        <v>1.1200000000000001</v>
      </c>
      <c r="T267" s="18">
        <f t="shared" si="39"/>
        <v>1.1200000000000001</v>
      </c>
    </row>
    <row r="268" spans="2:20" x14ac:dyDescent="0.25">
      <c r="B268" s="117" t="s">
        <v>727</v>
      </c>
      <c r="C268" s="136" t="s">
        <v>728</v>
      </c>
      <c r="D268" s="14" t="s">
        <v>24</v>
      </c>
      <c r="E268" s="14" t="s">
        <v>16</v>
      </c>
      <c r="F268" s="15">
        <v>45041</v>
      </c>
      <c r="G268" s="16">
        <v>1.65</v>
      </c>
      <c r="H268" s="15"/>
      <c r="I268" s="16"/>
      <c r="J268" s="15"/>
      <c r="K268" s="16"/>
      <c r="L268" s="15"/>
      <c r="M268" s="63"/>
      <c r="N268" s="17"/>
      <c r="O268" s="16"/>
      <c r="P268" s="16"/>
      <c r="Q268" s="152">
        <f t="shared" si="52"/>
        <v>0</v>
      </c>
      <c r="R268" s="152">
        <f t="shared" si="53"/>
        <v>1.65</v>
      </c>
      <c r="S268" s="152">
        <f t="shared" si="54"/>
        <v>1.65</v>
      </c>
      <c r="T268" s="18">
        <f t="shared" si="39"/>
        <v>1.65</v>
      </c>
    </row>
    <row r="269" spans="2:20" x14ac:dyDescent="0.25">
      <c r="B269" s="117" t="s">
        <v>742</v>
      </c>
      <c r="C269" s="136" t="s">
        <v>743</v>
      </c>
      <c r="D269" s="14" t="s">
        <v>15</v>
      </c>
      <c r="E269" s="14" t="s">
        <v>16</v>
      </c>
      <c r="F269" s="15">
        <v>45076</v>
      </c>
      <c r="G269" s="16">
        <v>1.3</v>
      </c>
      <c r="H269" s="15"/>
      <c r="I269" s="16"/>
      <c r="J269" s="15"/>
      <c r="K269" s="16"/>
      <c r="L269" s="15"/>
      <c r="M269" s="63"/>
      <c r="N269" s="17"/>
      <c r="O269" s="16"/>
      <c r="P269" s="16"/>
      <c r="Q269" s="152">
        <f t="shared" si="52"/>
        <v>0</v>
      </c>
      <c r="R269" s="152">
        <f t="shared" si="53"/>
        <v>1.3</v>
      </c>
      <c r="S269" s="152">
        <f t="shared" si="54"/>
        <v>1.3</v>
      </c>
      <c r="T269" s="18">
        <f t="shared" si="39"/>
        <v>1.3</v>
      </c>
    </row>
    <row r="270" spans="2:20" x14ac:dyDescent="0.25">
      <c r="B270" s="117" t="s">
        <v>520</v>
      </c>
      <c r="C270" s="136" t="s">
        <v>521</v>
      </c>
      <c r="D270" s="14" t="s">
        <v>24</v>
      </c>
      <c r="E270" s="14" t="s">
        <v>16</v>
      </c>
      <c r="F270" s="15">
        <v>45041</v>
      </c>
      <c r="G270" s="16">
        <v>3</v>
      </c>
      <c r="H270" s="15">
        <v>45244</v>
      </c>
      <c r="I270" s="16">
        <v>1.05</v>
      </c>
      <c r="J270" s="15"/>
      <c r="K270" s="16"/>
      <c r="L270" s="15"/>
      <c r="M270" s="63"/>
      <c r="N270" s="17"/>
      <c r="O270" s="16"/>
      <c r="P270" s="16"/>
      <c r="Q270" s="152">
        <f t="shared" si="52"/>
        <v>0</v>
      </c>
      <c r="R270" s="152">
        <f t="shared" si="53"/>
        <v>3</v>
      </c>
      <c r="S270" s="152">
        <f t="shared" si="54"/>
        <v>3</v>
      </c>
      <c r="T270" s="18">
        <f t="shared" si="39"/>
        <v>4.05</v>
      </c>
    </row>
    <row r="271" spans="2:20" x14ac:dyDescent="0.25">
      <c r="B271" s="158" t="s">
        <v>786</v>
      </c>
      <c r="C271" s="159" t="s">
        <v>793</v>
      </c>
      <c r="D271" s="45" t="s">
        <v>24</v>
      </c>
      <c r="E271" s="45" t="s">
        <v>16</v>
      </c>
      <c r="F271" s="15">
        <v>45041</v>
      </c>
      <c r="G271" s="16">
        <v>0.25</v>
      </c>
      <c r="H271" s="15"/>
      <c r="I271" s="16"/>
      <c r="J271" s="15"/>
      <c r="K271" s="16"/>
      <c r="L271" s="15"/>
      <c r="M271" s="63"/>
      <c r="N271" s="17"/>
      <c r="O271" s="16"/>
      <c r="P271" s="47"/>
      <c r="Q271" s="152">
        <f t="shared" si="52"/>
        <v>0</v>
      </c>
      <c r="R271" s="152">
        <f t="shared" si="53"/>
        <v>0.25</v>
      </c>
      <c r="S271" s="152">
        <f t="shared" si="54"/>
        <v>0.25</v>
      </c>
      <c r="T271" s="49">
        <f t="shared" ref="T271" si="60">G271+I271+K271+M271+O271</f>
        <v>0.25</v>
      </c>
    </row>
    <row r="272" spans="2:20" x14ac:dyDescent="0.25">
      <c r="B272" s="117" t="s">
        <v>526</v>
      </c>
      <c r="C272" s="136" t="s">
        <v>527</v>
      </c>
      <c r="D272" s="14" t="s">
        <v>15</v>
      </c>
      <c r="E272" s="14" t="s">
        <v>761</v>
      </c>
      <c r="F272" s="15">
        <v>45085</v>
      </c>
      <c r="G272" s="16">
        <f>4.5*1.0717</f>
        <v>4.8226500000000003</v>
      </c>
      <c r="H272" s="15">
        <v>45253</v>
      </c>
      <c r="I272" s="16">
        <f>4.5*0.87326</f>
        <v>3.9296700000000002</v>
      </c>
      <c r="J272" s="15"/>
      <c r="K272" s="16"/>
      <c r="L272" s="15"/>
      <c r="M272" s="63"/>
      <c r="N272" s="17"/>
      <c r="O272" s="16"/>
      <c r="P272" s="16"/>
      <c r="Q272" s="152">
        <f t="shared" si="52"/>
        <v>0</v>
      </c>
      <c r="R272" s="152">
        <f t="shared" si="53"/>
        <v>4.8226500000000003</v>
      </c>
      <c r="S272" s="152">
        <f t="shared" si="54"/>
        <v>4.8226500000000003</v>
      </c>
      <c r="T272" s="18">
        <f t="shared" si="39"/>
        <v>8.752320000000001</v>
      </c>
    </row>
    <row r="273" spans="2:20" x14ac:dyDescent="0.25">
      <c r="B273" s="117" t="s">
        <v>528</v>
      </c>
      <c r="C273" s="136" t="s">
        <v>529</v>
      </c>
      <c r="D273" s="14" t="s">
        <v>15</v>
      </c>
      <c r="E273" s="14" t="s">
        <v>16</v>
      </c>
      <c r="F273" s="15">
        <v>45057</v>
      </c>
      <c r="G273" s="16">
        <v>8.76</v>
      </c>
      <c r="H273" s="15"/>
      <c r="I273" s="16"/>
      <c r="J273" s="15"/>
      <c r="K273" s="16"/>
      <c r="L273" s="15"/>
      <c r="M273" s="63"/>
      <c r="N273" s="17"/>
      <c r="O273" s="16"/>
      <c r="P273" s="16"/>
      <c r="Q273" s="152">
        <f t="shared" si="52"/>
        <v>0</v>
      </c>
      <c r="R273" s="152">
        <f t="shared" si="53"/>
        <v>8.76</v>
      </c>
      <c r="S273" s="152">
        <f t="shared" si="54"/>
        <v>8.76</v>
      </c>
      <c r="T273" s="18">
        <f t="shared" si="39"/>
        <v>8.76</v>
      </c>
    </row>
    <row r="274" spans="2:20" x14ac:dyDescent="0.25">
      <c r="B274" s="117" t="s">
        <v>530</v>
      </c>
      <c r="C274" s="136" t="s">
        <v>531</v>
      </c>
      <c r="D274" s="14" t="s">
        <v>15</v>
      </c>
      <c r="E274" s="14" t="s">
        <v>200</v>
      </c>
      <c r="F274" s="153">
        <v>45021</v>
      </c>
      <c r="G274" s="154">
        <f>0.96644295*7</f>
        <v>6.7651006499999999</v>
      </c>
      <c r="H274" s="15"/>
      <c r="I274" s="16"/>
      <c r="J274" s="15"/>
      <c r="K274" s="16"/>
      <c r="L274" s="15"/>
      <c r="M274" s="63"/>
      <c r="N274" s="17"/>
      <c r="O274" s="16"/>
      <c r="P274" s="16"/>
      <c r="Q274" s="152">
        <f t="shared" si="52"/>
        <v>0</v>
      </c>
      <c r="R274" s="152">
        <f t="shared" si="53"/>
        <v>6.7651006499999999</v>
      </c>
      <c r="S274" s="152">
        <f t="shared" si="54"/>
        <v>6.7651006499999999</v>
      </c>
      <c r="T274" s="18">
        <f t="shared" si="39"/>
        <v>6.7651006499999999</v>
      </c>
    </row>
    <row r="275" spans="2:20" x14ac:dyDescent="0.25">
      <c r="B275" s="117" t="s">
        <v>927</v>
      </c>
      <c r="C275" s="136" t="s">
        <v>928</v>
      </c>
      <c r="D275" s="14" t="s">
        <v>15</v>
      </c>
      <c r="E275" s="14" t="s">
        <v>200</v>
      </c>
      <c r="F275" s="15"/>
      <c r="G275" s="16"/>
      <c r="H275" s="15"/>
      <c r="I275" s="16"/>
      <c r="J275" s="15"/>
      <c r="K275" s="16"/>
      <c r="L275" s="15"/>
      <c r="M275" s="63"/>
      <c r="N275" s="17"/>
      <c r="O275" s="16"/>
      <c r="P275" s="16"/>
      <c r="Q275" s="152">
        <f t="shared" ref="Q275" si="61">IF(F275&lt;=Exp23Q1,G275,0)+IF(H275&lt;=Exp23Q1,I275,0)+IF(J275&lt;=Exp23Q1,K275,0)+IF(L275&lt;=Exp23Q1,M275,0)+IF(N275&lt;=Exp23Q1,O275,0)</f>
        <v>0</v>
      </c>
      <c r="R275" s="152">
        <f t="shared" ref="R275" si="62">IF(F275&lt;=Exp23H1,G275,0)+IF(H275&lt;=Exp23H1,I275,0)+IF(J275&lt;=Exp23H1,K275,0)+IF(L275&lt;=Exp23H1,M275,0)+IF(N275&lt;=Exp23H1,O275,0)</f>
        <v>0</v>
      </c>
      <c r="S275" s="152">
        <f t="shared" ref="S275" si="63">IF(F275&lt;=Exp23Q3,G275,0)+IF(H275&lt;=Exp23Q3,I275,0)+IF(J275&lt;=Exp23Q3,K275,0)+IF(L275&lt;=Exp23Q3,M275,0)+IF(N275&lt;=Exp23Q3,O275,0)</f>
        <v>0</v>
      </c>
      <c r="T275" s="18">
        <f t="shared" ref="T275" si="64">G275+I275+K275+M275+O275</f>
        <v>0</v>
      </c>
    </row>
    <row r="276" spans="2:20" x14ac:dyDescent="0.25">
      <c r="B276" s="117" t="s">
        <v>532</v>
      </c>
      <c r="C276" s="136" t="s">
        <v>533</v>
      </c>
      <c r="D276" s="14" t="s">
        <v>15</v>
      </c>
      <c r="E276" s="14" t="s">
        <v>16</v>
      </c>
      <c r="F276" s="15">
        <v>45064</v>
      </c>
      <c r="G276" s="16">
        <v>0.85</v>
      </c>
      <c r="H276" s="15"/>
      <c r="I276" s="16"/>
      <c r="J276" s="15"/>
      <c r="K276" s="16"/>
      <c r="L276" s="15"/>
      <c r="M276" s="63"/>
      <c r="N276" s="17"/>
      <c r="O276" s="16"/>
      <c r="P276" s="16"/>
      <c r="Q276" s="152">
        <f t="shared" si="52"/>
        <v>0</v>
      </c>
      <c r="R276" s="152">
        <f t="shared" si="53"/>
        <v>0.85</v>
      </c>
      <c r="S276" s="152">
        <f t="shared" si="54"/>
        <v>0.85</v>
      </c>
      <c r="T276" s="18">
        <f t="shared" si="39"/>
        <v>0.85</v>
      </c>
    </row>
    <row r="277" spans="2:20" x14ac:dyDescent="0.25">
      <c r="B277" s="117" t="s">
        <v>534</v>
      </c>
      <c r="C277" s="136" t="s">
        <v>535</v>
      </c>
      <c r="D277" s="14" t="s">
        <v>15</v>
      </c>
      <c r="E277" s="14" t="s">
        <v>16</v>
      </c>
      <c r="F277" s="15">
        <v>45044</v>
      </c>
      <c r="G277" s="16">
        <v>1.3</v>
      </c>
      <c r="H277" s="15"/>
      <c r="I277" s="16"/>
      <c r="J277" s="15"/>
      <c r="K277" s="16"/>
      <c r="L277" s="15"/>
      <c r="M277" s="63"/>
      <c r="N277" s="17"/>
      <c r="O277" s="16"/>
      <c r="P277" s="16"/>
      <c r="Q277" s="152">
        <f t="shared" si="52"/>
        <v>0</v>
      </c>
      <c r="R277" s="152">
        <f t="shared" si="53"/>
        <v>1.3</v>
      </c>
      <c r="S277" s="152">
        <f t="shared" si="54"/>
        <v>1.3</v>
      </c>
      <c r="T277" s="18">
        <f t="shared" si="39"/>
        <v>1.3</v>
      </c>
    </row>
    <row r="278" spans="2:20" x14ac:dyDescent="0.25">
      <c r="B278" s="117" t="s">
        <v>744</v>
      </c>
      <c r="C278" s="136" t="s">
        <v>745</v>
      </c>
      <c r="D278" s="14" t="s">
        <v>15</v>
      </c>
      <c r="E278" s="14" t="s">
        <v>16</v>
      </c>
      <c r="F278" s="15">
        <v>45055</v>
      </c>
      <c r="G278" s="16">
        <v>0.9</v>
      </c>
      <c r="H278" s="15"/>
      <c r="I278" s="16"/>
      <c r="J278" s="15"/>
      <c r="K278" s="16"/>
      <c r="L278" s="15"/>
      <c r="M278" s="63"/>
      <c r="N278" s="17"/>
      <c r="O278" s="16"/>
      <c r="P278" s="16"/>
      <c r="Q278" s="152">
        <f t="shared" si="52"/>
        <v>0</v>
      </c>
      <c r="R278" s="152">
        <f t="shared" si="53"/>
        <v>0.9</v>
      </c>
      <c r="S278" s="152">
        <f t="shared" si="54"/>
        <v>0.9</v>
      </c>
      <c r="T278" s="18">
        <f t="shared" si="39"/>
        <v>0.9</v>
      </c>
    </row>
    <row r="279" spans="2:20" x14ac:dyDescent="0.25">
      <c r="B279" s="117" t="s">
        <v>542</v>
      </c>
      <c r="C279" s="136" t="s">
        <v>543</v>
      </c>
      <c r="D279" s="14" t="s">
        <v>15</v>
      </c>
      <c r="E279" s="14" t="s">
        <v>16</v>
      </c>
      <c r="F279" s="15">
        <v>45058</v>
      </c>
      <c r="G279" s="16">
        <v>1.18</v>
      </c>
      <c r="H279" s="15">
        <v>45167</v>
      </c>
      <c r="I279" s="16">
        <v>0.72</v>
      </c>
      <c r="J279" s="15"/>
      <c r="K279" s="16"/>
      <c r="L279" s="15"/>
      <c r="M279" s="63"/>
      <c r="N279" s="17"/>
      <c r="O279" s="16"/>
      <c r="P279" s="16"/>
      <c r="Q279" s="152">
        <f t="shared" si="52"/>
        <v>0</v>
      </c>
      <c r="R279" s="152">
        <f t="shared" si="53"/>
        <v>1.18</v>
      </c>
      <c r="S279" s="152">
        <f t="shared" si="54"/>
        <v>1.9</v>
      </c>
      <c r="T279" s="18">
        <f t="shared" si="39"/>
        <v>1.9</v>
      </c>
    </row>
    <row r="280" spans="2:20" x14ac:dyDescent="0.25">
      <c r="B280" s="117" t="s">
        <v>544</v>
      </c>
      <c r="C280" s="136" t="s">
        <v>545</v>
      </c>
      <c r="D280" s="14" t="s">
        <v>15</v>
      </c>
      <c r="E280" s="14" t="s">
        <v>761</v>
      </c>
      <c r="F280" s="15">
        <v>45085</v>
      </c>
      <c r="G280" s="16">
        <v>24.4</v>
      </c>
      <c r="H280" s="15">
        <v>45211</v>
      </c>
      <c r="I280" s="16">
        <v>15</v>
      </c>
      <c r="J280" s="15"/>
      <c r="K280" s="16"/>
      <c r="L280" s="15"/>
      <c r="M280" s="63"/>
      <c r="N280" s="17"/>
      <c r="O280" s="16"/>
      <c r="P280" s="16"/>
      <c r="Q280" s="152">
        <f t="shared" si="52"/>
        <v>0</v>
      </c>
      <c r="R280" s="152">
        <f t="shared" si="53"/>
        <v>24.4</v>
      </c>
      <c r="S280" s="152">
        <f t="shared" si="54"/>
        <v>24.4</v>
      </c>
      <c r="T280" s="18">
        <f t="shared" ref="T280:T338" si="65">G280+I280+K280+M280+O280</f>
        <v>39.4</v>
      </c>
    </row>
    <row r="281" spans="2:20" x14ac:dyDescent="0.25">
      <c r="B281" s="117" t="s">
        <v>769</v>
      </c>
      <c r="C281" s="136" t="s">
        <v>770</v>
      </c>
      <c r="D281" s="14" t="s">
        <v>755</v>
      </c>
      <c r="E281" s="14" t="s">
        <v>475</v>
      </c>
      <c r="F281" s="15">
        <v>45090</v>
      </c>
      <c r="G281" s="16">
        <v>55</v>
      </c>
      <c r="H281" s="15"/>
      <c r="I281" s="16"/>
      <c r="J281" s="15"/>
      <c r="K281" s="16"/>
      <c r="L281" s="15"/>
      <c r="M281" s="63"/>
      <c r="N281" s="17"/>
      <c r="O281" s="16"/>
      <c r="P281" s="16"/>
      <c r="Q281" s="152">
        <f t="shared" si="52"/>
        <v>0</v>
      </c>
      <c r="R281" s="152">
        <f t="shared" si="53"/>
        <v>55</v>
      </c>
      <c r="S281" s="152">
        <f t="shared" si="54"/>
        <v>55</v>
      </c>
      <c r="T281" s="18">
        <f t="shared" si="65"/>
        <v>55</v>
      </c>
    </row>
    <row r="282" spans="2:20" x14ac:dyDescent="0.25">
      <c r="B282" s="117" t="s">
        <v>548</v>
      </c>
      <c r="C282" s="136" t="s">
        <v>549</v>
      </c>
      <c r="D282" s="14" t="s">
        <v>15</v>
      </c>
      <c r="E282" s="14" t="s">
        <v>21</v>
      </c>
      <c r="F282" s="15">
        <v>45028</v>
      </c>
      <c r="G282" s="16">
        <v>24</v>
      </c>
      <c r="H282" s="15"/>
      <c r="I282" s="16"/>
      <c r="J282" s="15"/>
      <c r="K282" s="16"/>
      <c r="L282" s="15"/>
      <c r="M282" s="63"/>
      <c r="N282" s="17"/>
      <c r="O282" s="16"/>
      <c r="P282" s="16"/>
      <c r="Q282" s="152">
        <f t="shared" si="52"/>
        <v>0</v>
      </c>
      <c r="R282" s="152">
        <f t="shared" si="53"/>
        <v>24</v>
      </c>
      <c r="S282" s="152">
        <f t="shared" si="54"/>
        <v>24</v>
      </c>
      <c r="T282" s="18">
        <f t="shared" si="65"/>
        <v>24</v>
      </c>
    </row>
    <row r="283" spans="2:20" x14ac:dyDescent="0.25">
      <c r="B283" s="134" t="s">
        <v>557</v>
      </c>
      <c r="C283" s="135" t="s">
        <v>584</v>
      </c>
      <c r="D283" s="135" t="s">
        <v>55</v>
      </c>
      <c r="E283" s="22" t="s">
        <v>56</v>
      </c>
      <c r="F283" s="23">
        <v>44973</v>
      </c>
      <c r="G283" s="24">
        <v>1.5</v>
      </c>
      <c r="H283" s="23">
        <v>45064</v>
      </c>
      <c r="I283" s="24">
        <v>1.5</v>
      </c>
      <c r="J283" s="23">
        <v>45156</v>
      </c>
      <c r="K283" s="24">
        <v>1.5</v>
      </c>
      <c r="L283" s="23">
        <v>45246</v>
      </c>
      <c r="M283" s="24">
        <v>1.5</v>
      </c>
      <c r="N283" s="25"/>
      <c r="O283" s="24"/>
      <c r="P283" s="24"/>
      <c r="Q283" s="24"/>
      <c r="R283" s="24"/>
      <c r="S283" s="24"/>
      <c r="T283" s="26">
        <f t="shared" si="65"/>
        <v>6</v>
      </c>
    </row>
    <row r="284" spans="2:20" x14ac:dyDescent="0.25">
      <c r="B284" s="134" t="s">
        <v>563</v>
      </c>
      <c r="C284" s="135" t="s">
        <v>590</v>
      </c>
      <c r="D284" s="135" t="s">
        <v>55</v>
      </c>
      <c r="E284" s="22" t="s">
        <v>56</v>
      </c>
      <c r="F284" s="23">
        <v>45029</v>
      </c>
      <c r="G284" s="24">
        <v>1.48</v>
      </c>
      <c r="H284" s="23">
        <v>45120</v>
      </c>
      <c r="I284" s="24">
        <v>1.48</v>
      </c>
      <c r="J284" s="23">
        <v>45211</v>
      </c>
      <c r="K284" s="24">
        <v>1.48</v>
      </c>
      <c r="L284" s="23">
        <v>45303</v>
      </c>
      <c r="M284" s="24">
        <v>1.55</v>
      </c>
      <c r="N284" s="25"/>
      <c r="O284" s="24"/>
      <c r="P284" s="24"/>
      <c r="Q284" s="24"/>
      <c r="R284" s="24"/>
      <c r="S284" s="24"/>
      <c r="T284" s="26">
        <f t="shared" si="65"/>
        <v>5.9899999999999993</v>
      </c>
    </row>
    <row r="285" spans="2:20" x14ac:dyDescent="0.25">
      <c r="B285" s="134" t="s">
        <v>554</v>
      </c>
      <c r="C285" s="135" t="s">
        <v>581</v>
      </c>
      <c r="D285" s="135" t="s">
        <v>55</v>
      </c>
      <c r="E285" s="22" t="s">
        <v>56</v>
      </c>
      <c r="F285" s="23">
        <v>45008</v>
      </c>
      <c r="G285" s="24">
        <v>0.94</v>
      </c>
      <c r="H285" s="23">
        <v>45091</v>
      </c>
      <c r="I285" s="24">
        <v>0.94</v>
      </c>
      <c r="J285" s="23">
        <v>45183</v>
      </c>
      <c r="K285" s="24">
        <v>0.98</v>
      </c>
      <c r="L285" s="23">
        <v>45280</v>
      </c>
      <c r="M285" s="24">
        <v>0.98</v>
      </c>
      <c r="N285" s="25"/>
      <c r="O285" s="24"/>
      <c r="P285" s="24"/>
      <c r="Q285" s="24"/>
      <c r="R285" s="24"/>
      <c r="S285" s="24"/>
      <c r="T285" s="26">
        <f t="shared" si="65"/>
        <v>3.84</v>
      </c>
    </row>
    <row r="286" spans="2:20" x14ac:dyDescent="0.25">
      <c r="B286" s="134" t="s">
        <v>53</v>
      </c>
      <c r="C286" s="137" t="s">
        <v>54</v>
      </c>
      <c r="D286" s="135" t="s">
        <v>55</v>
      </c>
      <c r="E286" s="22" t="s">
        <v>56</v>
      </c>
      <c r="F286" s="23"/>
      <c r="G286" s="24"/>
      <c r="H286" s="23"/>
      <c r="I286" s="24"/>
      <c r="J286" s="23"/>
      <c r="K286" s="24"/>
      <c r="L286" s="23"/>
      <c r="M286" s="24"/>
      <c r="N286" s="25"/>
      <c r="O286" s="24"/>
      <c r="P286" s="24"/>
      <c r="Q286" s="24"/>
      <c r="R286" s="24"/>
      <c r="S286" s="24"/>
      <c r="T286" s="26">
        <f t="shared" si="65"/>
        <v>0</v>
      </c>
    </row>
    <row r="287" spans="2:20" x14ac:dyDescent="0.25">
      <c r="B287" s="134" t="s">
        <v>556</v>
      </c>
      <c r="C287" s="137" t="s">
        <v>583</v>
      </c>
      <c r="D287" s="135" t="s">
        <v>55</v>
      </c>
      <c r="E287" s="22" t="s">
        <v>56</v>
      </c>
      <c r="F287" s="23">
        <v>44971</v>
      </c>
      <c r="G287" s="24">
        <v>2.13</v>
      </c>
      <c r="H287" s="23">
        <v>45063</v>
      </c>
      <c r="I287" s="24">
        <v>2.13</v>
      </c>
      <c r="J287" s="23">
        <v>45155</v>
      </c>
      <c r="K287" s="24">
        <v>2.13</v>
      </c>
      <c r="L287" s="23">
        <v>45246</v>
      </c>
      <c r="M287" s="24">
        <v>2.13</v>
      </c>
      <c r="N287" s="25"/>
      <c r="O287" s="24"/>
      <c r="P287" s="24"/>
      <c r="Q287" s="24"/>
      <c r="R287" s="24"/>
      <c r="S287" s="24"/>
      <c r="T287" s="26">
        <f t="shared" si="65"/>
        <v>8.52</v>
      </c>
    </row>
    <row r="288" spans="2:20" x14ac:dyDescent="0.25">
      <c r="B288" s="134" t="s">
        <v>61</v>
      </c>
      <c r="C288" s="137" t="s">
        <v>62</v>
      </c>
      <c r="D288" s="135" t="s">
        <v>55</v>
      </c>
      <c r="E288" s="22" t="s">
        <v>56</v>
      </c>
      <c r="F288" s="23">
        <v>44967</v>
      </c>
      <c r="G288" s="24">
        <v>0.23</v>
      </c>
      <c r="H288" s="23">
        <v>45058</v>
      </c>
      <c r="I288" s="24">
        <v>0.24</v>
      </c>
      <c r="J288" s="23">
        <v>45149</v>
      </c>
      <c r="K288" s="24">
        <v>0.24</v>
      </c>
      <c r="L288" s="23">
        <v>45240</v>
      </c>
      <c r="M288" s="24">
        <v>0.24</v>
      </c>
      <c r="N288" s="25"/>
      <c r="O288" s="24"/>
      <c r="P288" s="24"/>
      <c r="Q288" s="24"/>
      <c r="R288" s="24"/>
      <c r="S288" s="24"/>
      <c r="T288" s="26">
        <f t="shared" si="65"/>
        <v>0.95</v>
      </c>
    </row>
    <row r="289" spans="1:21" x14ac:dyDescent="0.25">
      <c r="B289" s="134" t="s">
        <v>71</v>
      </c>
      <c r="C289" s="137" t="s">
        <v>72</v>
      </c>
      <c r="D289" s="135" t="s">
        <v>55</v>
      </c>
      <c r="E289" s="22" t="s">
        <v>56</v>
      </c>
      <c r="F289" s="23">
        <v>45022</v>
      </c>
      <c r="G289" s="24">
        <v>0.27750000000000002</v>
      </c>
      <c r="H289" s="23">
        <v>45114</v>
      </c>
      <c r="I289" s="24">
        <v>0.27750000000000002</v>
      </c>
      <c r="J289" s="23">
        <v>45205</v>
      </c>
      <c r="K289" s="24">
        <v>0.27750000000000002</v>
      </c>
      <c r="L289" s="23">
        <v>45300</v>
      </c>
      <c r="M289" s="24">
        <v>0.27750000000000002</v>
      </c>
      <c r="N289" s="25"/>
      <c r="O289" s="24"/>
      <c r="P289" s="24"/>
      <c r="Q289" s="24"/>
      <c r="R289" s="24"/>
      <c r="S289" s="24"/>
      <c r="T289" s="26">
        <f t="shared" si="65"/>
        <v>1.1100000000000001</v>
      </c>
    </row>
    <row r="290" spans="1:21" x14ac:dyDescent="0.25">
      <c r="B290" s="134" t="s">
        <v>112</v>
      </c>
      <c r="C290" s="137" t="s">
        <v>113</v>
      </c>
      <c r="D290" s="135" t="s">
        <v>55</v>
      </c>
      <c r="E290" s="22" t="s">
        <v>56</v>
      </c>
      <c r="F290" s="23">
        <v>44987</v>
      </c>
      <c r="G290" s="24">
        <v>0.22</v>
      </c>
      <c r="H290" s="23">
        <v>45078</v>
      </c>
      <c r="I290" s="24">
        <v>0.22</v>
      </c>
      <c r="J290" s="23">
        <v>45169</v>
      </c>
      <c r="K290" s="24">
        <v>0.24</v>
      </c>
      <c r="L290" s="23">
        <v>45260</v>
      </c>
      <c r="M290" s="24">
        <v>0.24</v>
      </c>
      <c r="N290" s="25"/>
      <c r="O290" s="24"/>
      <c r="P290" s="24"/>
      <c r="Q290" s="24"/>
      <c r="R290" s="24"/>
      <c r="S290" s="24"/>
      <c r="T290" s="26">
        <f t="shared" si="65"/>
        <v>0.91999999999999993</v>
      </c>
    </row>
    <row r="291" spans="1:21" x14ac:dyDescent="0.25">
      <c r="B291" s="134" t="s">
        <v>564</v>
      </c>
      <c r="C291" s="137" t="s">
        <v>591</v>
      </c>
      <c r="D291" s="135" t="s">
        <v>55</v>
      </c>
      <c r="E291" s="22" t="s">
        <v>56</v>
      </c>
      <c r="F291" s="23"/>
      <c r="G291" s="24"/>
      <c r="H291" s="23"/>
      <c r="I291" s="24"/>
      <c r="J291" s="23"/>
      <c r="K291" s="24"/>
      <c r="L291" s="23"/>
      <c r="M291" s="24"/>
      <c r="N291" s="25"/>
      <c r="O291" s="24"/>
      <c r="P291" s="24"/>
      <c r="Q291" s="24"/>
      <c r="R291" s="24"/>
      <c r="S291" s="24"/>
      <c r="T291" s="26">
        <f t="shared" si="65"/>
        <v>0</v>
      </c>
    </row>
    <row r="292" spans="1:21" x14ac:dyDescent="0.25">
      <c r="B292" s="134" t="s">
        <v>566</v>
      </c>
      <c r="C292" s="137" t="s">
        <v>593</v>
      </c>
      <c r="D292" s="135" t="s">
        <v>55</v>
      </c>
      <c r="E292" s="22" t="s">
        <v>56</v>
      </c>
      <c r="F292" s="23">
        <v>45022</v>
      </c>
      <c r="G292" s="24">
        <v>0.56999999999999995</v>
      </c>
      <c r="H292" s="23">
        <v>45113</v>
      </c>
      <c r="I292" s="24">
        <v>0.56999999999999995</v>
      </c>
      <c r="J292" s="23">
        <v>45204</v>
      </c>
      <c r="K292" s="24">
        <v>0.56999999999999995</v>
      </c>
      <c r="L292" s="23">
        <v>45295</v>
      </c>
      <c r="M292" s="24">
        <v>0.6</v>
      </c>
      <c r="N292" s="25"/>
      <c r="O292" s="24"/>
      <c r="P292" s="24"/>
      <c r="Q292" s="24"/>
      <c r="R292" s="24"/>
      <c r="S292" s="24"/>
      <c r="T292" s="26">
        <f t="shared" si="65"/>
        <v>2.31</v>
      </c>
    </row>
    <row r="293" spans="1:21" x14ac:dyDescent="0.25">
      <c r="B293" s="134" t="s">
        <v>568</v>
      </c>
      <c r="C293" s="137" t="s">
        <v>595</v>
      </c>
      <c r="D293" s="135" t="s">
        <v>55</v>
      </c>
      <c r="E293" s="22" t="s">
        <v>56</v>
      </c>
      <c r="F293" s="23">
        <v>45006</v>
      </c>
      <c r="G293" s="24">
        <v>4.5999999999999996</v>
      </c>
      <c r="H293" s="23">
        <v>45098</v>
      </c>
      <c r="I293" s="24">
        <v>4.5999999999999996</v>
      </c>
      <c r="J293" s="23">
        <v>45189</v>
      </c>
      <c r="K293" s="24">
        <v>4.5999999999999996</v>
      </c>
      <c r="L293" s="23">
        <v>45279</v>
      </c>
      <c r="M293" s="24">
        <v>5.25</v>
      </c>
      <c r="N293" s="25"/>
      <c r="O293" s="24"/>
      <c r="P293" s="24"/>
      <c r="Q293" s="24"/>
      <c r="R293" s="24"/>
      <c r="S293" s="24"/>
      <c r="T293" s="26">
        <f t="shared" si="65"/>
        <v>19.049999999999997</v>
      </c>
    </row>
    <row r="294" spans="1:21" x14ac:dyDescent="0.25">
      <c r="B294" s="134" t="s">
        <v>141</v>
      </c>
      <c r="C294" s="137" t="s">
        <v>142</v>
      </c>
      <c r="D294" s="135" t="s">
        <v>55</v>
      </c>
      <c r="E294" s="22" t="s">
        <v>56</v>
      </c>
      <c r="F294" s="23">
        <v>44972</v>
      </c>
      <c r="G294" s="24">
        <v>1.51</v>
      </c>
      <c r="H294" s="23">
        <v>45064</v>
      </c>
      <c r="I294" s="24">
        <v>1.51</v>
      </c>
      <c r="J294" s="23">
        <v>45155</v>
      </c>
      <c r="K294" s="24">
        <v>1.51</v>
      </c>
      <c r="L294" s="23">
        <v>45246</v>
      </c>
      <c r="M294" s="24">
        <v>1.51</v>
      </c>
      <c r="N294" s="25"/>
      <c r="O294" s="24"/>
      <c r="P294" s="24"/>
      <c r="Q294" s="24"/>
      <c r="R294" s="24"/>
      <c r="S294" s="24"/>
      <c r="T294" s="26">
        <f t="shared" si="65"/>
        <v>6.04</v>
      </c>
    </row>
    <row r="295" spans="1:21" x14ac:dyDescent="0.25">
      <c r="B295" s="134" t="s">
        <v>143</v>
      </c>
      <c r="C295" s="137" t="s">
        <v>144</v>
      </c>
      <c r="D295" s="135" t="s">
        <v>55</v>
      </c>
      <c r="E295" s="22" t="s">
        <v>56</v>
      </c>
      <c r="F295" s="23">
        <v>45020</v>
      </c>
      <c r="G295" s="24">
        <v>0.39</v>
      </c>
      <c r="H295" s="23">
        <v>45112</v>
      </c>
      <c r="I295" s="24">
        <v>0.39</v>
      </c>
      <c r="J295" s="23">
        <v>45202</v>
      </c>
      <c r="K295" s="24">
        <v>0.39</v>
      </c>
      <c r="L295" s="23">
        <v>45294</v>
      </c>
      <c r="M295" s="24">
        <v>0.39</v>
      </c>
      <c r="N295" s="25"/>
      <c r="O295" s="24"/>
      <c r="P295" s="24"/>
      <c r="Q295" s="24"/>
      <c r="R295" s="24"/>
      <c r="S295" s="24"/>
      <c r="T295" s="26">
        <f t="shared" si="65"/>
        <v>1.56</v>
      </c>
    </row>
    <row r="296" spans="1:21" x14ac:dyDescent="0.25">
      <c r="B296" s="134" t="s">
        <v>145</v>
      </c>
      <c r="C296" s="137" t="s">
        <v>146</v>
      </c>
      <c r="D296" s="135" t="s">
        <v>55</v>
      </c>
      <c r="E296" s="22" t="s">
        <v>56</v>
      </c>
      <c r="F296" s="23">
        <v>44960</v>
      </c>
      <c r="G296" s="24">
        <v>0.51</v>
      </c>
      <c r="H296" s="23">
        <v>45044</v>
      </c>
      <c r="I296" s="24">
        <v>0.51</v>
      </c>
      <c r="J296" s="23">
        <v>45142</v>
      </c>
      <c r="K296" s="24">
        <v>0.53</v>
      </c>
      <c r="L296" s="23">
        <v>45233</v>
      </c>
      <c r="M296" s="24">
        <v>0.53</v>
      </c>
      <c r="N296" s="25"/>
      <c r="O296" s="24"/>
      <c r="P296" s="24"/>
      <c r="Q296" s="24"/>
      <c r="R296" s="24"/>
      <c r="S296" s="24"/>
      <c r="T296" s="26">
        <f t="shared" si="65"/>
        <v>2.08</v>
      </c>
    </row>
    <row r="297" spans="1:21" x14ac:dyDescent="0.25">
      <c r="B297" s="134" t="s">
        <v>147</v>
      </c>
      <c r="C297" s="137" t="s">
        <v>148</v>
      </c>
      <c r="D297" s="135" t="s">
        <v>55</v>
      </c>
      <c r="E297" s="22" t="s">
        <v>56</v>
      </c>
      <c r="F297" s="23">
        <v>44994</v>
      </c>
      <c r="G297" s="24">
        <v>1.1000000000000001</v>
      </c>
      <c r="H297" s="23">
        <v>45085</v>
      </c>
      <c r="I297" s="24">
        <v>1.1000000000000001</v>
      </c>
      <c r="J297" s="23">
        <v>45176</v>
      </c>
      <c r="K297" s="24">
        <v>1.1000000000000001</v>
      </c>
      <c r="L297" s="23">
        <v>45267</v>
      </c>
      <c r="M297" s="24">
        <v>1.1000000000000001</v>
      </c>
      <c r="N297" s="25"/>
      <c r="O297" s="24"/>
      <c r="P297" s="24"/>
      <c r="Q297" s="24"/>
      <c r="R297" s="24"/>
      <c r="S297" s="24"/>
      <c r="T297" s="26">
        <f t="shared" si="65"/>
        <v>4.4000000000000004</v>
      </c>
    </row>
    <row r="298" spans="1:21" x14ac:dyDescent="0.25">
      <c r="B298" s="134" t="s">
        <v>149</v>
      </c>
      <c r="C298" s="137" t="s">
        <v>150</v>
      </c>
      <c r="D298" s="135" t="s">
        <v>55</v>
      </c>
      <c r="E298" s="22" t="s">
        <v>56</v>
      </c>
      <c r="F298" s="23">
        <v>45001</v>
      </c>
      <c r="G298" s="24">
        <v>0.46</v>
      </c>
      <c r="H298" s="23">
        <v>45092</v>
      </c>
      <c r="I298" s="24">
        <v>0.46</v>
      </c>
      <c r="J298" s="23">
        <v>45183</v>
      </c>
      <c r="K298" s="24">
        <v>0.46</v>
      </c>
      <c r="L298" s="23">
        <v>45260</v>
      </c>
      <c r="M298" s="24">
        <v>0.46</v>
      </c>
      <c r="N298" s="25"/>
      <c r="O298" s="24"/>
      <c r="P298" s="24"/>
      <c r="Q298" s="24"/>
      <c r="R298" s="24"/>
      <c r="S298" s="24"/>
      <c r="T298" s="26">
        <f t="shared" si="65"/>
        <v>1.84</v>
      </c>
    </row>
    <row r="299" spans="1:21" x14ac:dyDescent="0.25">
      <c r="B299" s="134" t="s">
        <v>550</v>
      </c>
      <c r="C299" s="137" t="s">
        <v>155</v>
      </c>
      <c r="D299" s="135" t="s">
        <v>55</v>
      </c>
      <c r="E299" s="22" t="s">
        <v>56</v>
      </c>
      <c r="F299" s="23">
        <v>45020</v>
      </c>
      <c r="G299" s="24">
        <v>0.28999999999999998</v>
      </c>
      <c r="H299" s="23">
        <v>45110</v>
      </c>
      <c r="I299" s="24">
        <v>0.28999999999999998</v>
      </c>
      <c r="J299" s="23">
        <v>45202</v>
      </c>
      <c r="K299" s="24">
        <v>0.28999999999999998</v>
      </c>
      <c r="L299" s="23">
        <v>45293</v>
      </c>
      <c r="M299" s="24">
        <v>0.28999999999999998</v>
      </c>
      <c r="N299" s="25"/>
      <c r="O299" s="24"/>
      <c r="P299" s="24"/>
      <c r="Q299" s="24"/>
      <c r="R299" s="24"/>
      <c r="S299" s="24"/>
      <c r="T299" s="26">
        <f t="shared" si="65"/>
        <v>1.1599999999999999</v>
      </c>
    </row>
    <row r="300" spans="1:21" x14ac:dyDescent="0.25">
      <c r="B300" s="134" t="s">
        <v>577</v>
      </c>
      <c r="C300" s="137" t="s">
        <v>604</v>
      </c>
      <c r="D300" s="135" t="s">
        <v>55</v>
      </c>
      <c r="E300" s="22" t="s">
        <v>56</v>
      </c>
      <c r="F300" s="23">
        <v>45036</v>
      </c>
      <c r="G300" s="24">
        <v>0.60499999999999998</v>
      </c>
      <c r="H300" s="23">
        <v>45127</v>
      </c>
      <c r="I300" s="24">
        <v>0.60499999999999998</v>
      </c>
      <c r="J300" s="23">
        <v>45218</v>
      </c>
      <c r="K300" s="24">
        <v>0.60499999999999998</v>
      </c>
      <c r="L300" s="23">
        <v>45310</v>
      </c>
      <c r="M300" s="24">
        <v>0.66500000000000004</v>
      </c>
      <c r="N300" s="25"/>
      <c r="O300" s="24"/>
      <c r="P300" s="24"/>
      <c r="Q300" s="24"/>
      <c r="R300" s="24"/>
      <c r="S300" s="24"/>
      <c r="T300" s="26">
        <f t="shared" si="65"/>
        <v>2.48</v>
      </c>
    </row>
    <row r="301" spans="1:21" x14ac:dyDescent="0.25">
      <c r="B301" s="134" t="s">
        <v>192</v>
      </c>
      <c r="C301" s="137" t="s">
        <v>193</v>
      </c>
      <c r="D301" s="135" t="s">
        <v>55</v>
      </c>
      <c r="E301" s="22" t="s">
        <v>56</v>
      </c>
      <c r="F301" s="23">
        <v>44973</v>
      </c>
      <c r="G301" s="24">
        <v>1.0049999999999999</v>
      </c>
      <c r="H301" s="23">
        <v>45057</v>
      </c>
      <c r="I301" s="24">
        <v>1.0049999999999999</v>
      </c>
      <c r="J301" s="23">
        <v>45155</v>
      </c>
      <c r="K301" s="24">
        <v>1.0249999999999999</v>
      </c>
      <c r="L301" s="23">
        <v>45246</v>
      </c>
      <c r="M301" s="24">
        <v>1.0249999999999999</v>
      </c>
      <c r="N301" s="25"/>
      <c r="O301" s="24"/>
      <c r="P301" s="24"/>
      <c r="Q301" s="24"/>
      <c r="R301" s="24"/>
      <c r="S301" s="24"/>
      <c r="T301" s="26">
        <f t="shared" si="65"/>
        <v>4.0599999999999996</v>
      </c>
    </row>
    <row r="302" spans="1:21" x14ac:dyDescent="0.25">
      <c r="B302" s="134" t="s">
        <v>575</v>
      </c>
      <c r="C302" s="137" t="s">
        <v>602</v>
      </c>
      <c r="D302" s="135" t="s">
        <v>55</v>
      </c>
      <c r="E302" s="22" t="s">
        <v>56</v>
      </c>
      <c r="F302" s="23">
        <v>44971</v>
      </c>
      <c r="G302" s="24">
        <v>1.1299999999999999</v>
      </c>
      <c r="H302" s="23">
        <v>45058</v>
      </c>
      <c r="I302" s="24">
        <v>1.1299999999999999</v>
      </c>
      <c r="J302" s="23">
        <v>45152</v>
      </c>
      <c r="K302" s="24">
        <v>1.1299999999999999</v>
      </c>
      <c r="L302" s="23">
        <v>45244</v>
      </c>
      <c r="M302" s="24">
        <v>1.1299999999999999</v>
      </c>
      <c r="N302" s="25"/>
      <c r="O302" s="24"/>
      <c r="P302" s="24"/>
      <c r="Q302" s="24"/>
      <c r="R302" s="24"/>
      <c r="S302" s="24"/>
      <c r="T302" s="26">
        <f t="shared" si="65"/>
        <v>4.5199999999999996</v>
      </c>
    </row>
    <row r="303" spans="1:21" x14ac:dyDescent="0.25">
      <c r="A303" s="33"/>
      <c r="B303" s="134" t="s">
        <v>223</v>
      </c>
      <c r="C303" s="137" t="s">
        <v>224</v>
      </c>
      <c r="D303" s="135" t="s">
        <v>55</v>
      </c>
      <c r="E303" s="22" t="s">
        <v>56</v>
      </c>
      <c r="F303" s="23">
        <v>44970</v>
      </c>
      <c r="G303" s="24">
        <v>0.91</v>
      </c>
      <c r="H303" s="23">
        <v>45061</v>
      </c>
      <c r="I303" s="24">
        <v>0.91</v>
      </c>
      <c r="J303" s="23">
        <v>45153</v>
      </c>
      <c r="K303" s="24">
        <v>0.91</v>
      </c>
      <c r="L303" s="23">
        <v>45244</v>
      </c>
      <c r="M303" s="24">
        <v>0.95</v>
      </c>
      <c r="N303" s="25"/>
      <c r="O303" s="24"/>
      <c r="P303" s="24"/>
      <c r="Q303" s="24"/>
      <c r="R303" s="24"/>
      <c r="S303" s="24"/>
      <c r="T303" s="26">
        <f t="shared" si="65"/>
        <v>3.6799999999999997</v>
      </c>
      <c r="U303" s="36"/>
    </row>
    <row r="304" spans="1:21" x14ac:dyDescent="0.25">
      <c r="A304" s="33"/>
      <c r="B304" s="134" t="s">
        <v>227</v>
      </c>
      <c r="C304" s="137" t="s">
        <v>228</v>
      </c>
      <c r="D304" s="135" t="s">
        <v>55</v>
      </c>
      <c r="E304" s="22" t="s">
        <v>56</v>
      </c>
      <c r="F304" s="153">
        <v>44967</v>
      </c>
      <c r="G304" s="154">
        <f>0.15*0.95127436</f>
        <v>0.14269115399999999</v>
      </c>
      <c r="H304" s="23">
        <v>45041</v>
      </c>
      <c r="I304" s="24">
        <v>0.15</v>
      </c>
      <c r="J304" s="23">
        <v>45131</v>
      </c>
      <c r="K304" s="24">
        <v>0.15</v>
      </c>
      <c r="L304" s="23">
        <v>45230</v>
      </c>
      <c r="M304" s="24">
        <v>0.15</v>
      </c>
      <c r="N304" s="25"/>
      <c r="O304" s="24"/>
      <c r="P304" s="24"/>
      <c r="Q304" s="24"/>
      <c r="R304" s="24"/>
      <c r="S304" s="24"/>
      <c r="T304" s="26">
        <f t="shared" si="65"/>
        <v>0.59269115400000005</v>
      </c>
      <c r="U304" s="36"/>
    </row>
    <row r="305" spans="1:21" x14ac:dyDescent="0.25">
      <c r="B305" s="134" t="s">
        <v>240</v>
      </c>
      <c r="C305" s="137" t="s">
        <v>241</v>
      </c>
      <c r="D305" s="135" t="s">
        <v>55</v>
      </c>
      <c r="E305" s="22" t="s">
        <v>56</v>
      </c>
      <c r="F305" s="23">
        <v>44991</v>
      </c>
      <c r="G305" s="24">
        <v>0.08</v>
      </c>
      <c r="H305" s="23">
        <v>45117</v>
      </c>
      <c r="I305" s="24">
        <v>0.08</v>
      </c>
      <c r="J305" s="23">
        <v>45194</v>
      </c>
      <c r="K305" s="24">
        <v>0.08</v>
      </c>
      <c r="L305" s="23">
        <v>45287</v>
      </c>
      <c r="M305" s="24">
        <v>0.08</v>
      </c>
      <c r="N305" s="25"/>
      <c r="O305" s="24"/>
      <c r="P305" s="24"/>
      <c r="Q305" s="24"/>
      <c r="R305" s="24"/>
      <c r="S305" s="24"/>
      <c r="T305" s="26">
        <f t="shared" si="65"/>
        <v>0.32</v>
      </c>
    </row>
    <row r="306" spans="1:21" x14ac:dyDescent="0.25">
      <c r="B306" s="134" t="s">
        <v>246</v>
      </c>
      <c r="C306" s="137" t="s">
        <v>247</v>
      </c>
      <c r="D306" s="135" t="s">
        <v>55</v>
      </c>
      <c r="E306" s="22" t="s">
        <v>56</v>
      </c>
      <c r="F306" s="23">
        <v>44987</v>
      </c>
      <c r="G306" s="24">
        <v>0.09</v>
      </c>
      <c r="H306" s="23">
        <v>45078</v>
      </c>
      <c r="I306" s="24">
        <v>0.09</v>
      </c>
      <c r="J306" s="23">
        <v>45169</v>
      </c>
      <c r="K306" s="24">
        <v>0.09</v>
      </c>
      <c r="L306" s="23">
        <v>45260</v>
      </c>
      <c r="M306" s="24">
        <v>0.09</v>
      </c>
      <c r="N306" s="25"/>
      <c r="O306" s="24"/>
      <c r="P306" s="24"/>
      <c r="Q306" s="24"/>
      <c r="R306" s="24"/>
      <c r="S306" s="24"/>
      <c r="T306" s="26">
        <f t="shared" si="65"/>
        <v>0.36</v>
      </c>
    </row>
    <row r="307" spans="1:21" x14ac:dyDescent="0.25">
      <c r="B307" s="134" t="s">
        <v>567</v>
      </c>
      <c r="C307" s="137" t="s">
        <v>594</v>
      </c>
      <c r="D307" s="135" t="s">
        <v>55</v>
      </c>
      <c r="E307" s="22" t="s">
        <v>56</v>
      </c>
      <c r="F307" s="23">
        <v>44999</v>
      </c>
      <c r="G307" s="24">
        <v>0.75</v>
      </c>
      <c r="H307" s="23">
        <v>45091</v>
      </c>
      <c r="I307" s="24">
        <v>0.75</v>
      </c>
      <c r="J307" s="23">
        <v>45183</v>
      </c>
      <c r="K307" s="24">
        <v>0.75</v>
      </c>
      <c r="L307" s="23">
        <v>45274</v>
      </c>
      <c r="M307" s="24">
        <v>0.75</v>
      </c>
      <c r="N307" s="25"/>
      <c r="O307" s="24"/>
      <c r="P307" s="24"/>
      <c r="Q307" s="24"/>
      <c r="R307" s="24"/>
      <c r="S307" s="24"/>
      <c r="T307" s="26">
        <f t="shared" si="65"/>
        <v>3</v>
      </c>
    </row>
    <row r="308" spans="1:21" x14ac:dyDescent="0.25">
      <c r="B308" s="134" t="s">
        <v>570</v>
      </c>
      <c r="C308" s="137" t="s">
        <v>597</v>
      </c>
      <c r="D308" s="135" t="s">
        <v>55</v>
      </c>
      <c r="E308" s="22" t="s">
        <v>56</v>
      </c>
      <c r="F308" s="23">
        <v>44986</v>
      </c>
      <c r="G308" s="24">
        <v>2.5</v>
      </c>
      <c r="H308" s="23">
        <v>45077</v>
      </c>
      <c r="I308" s="24">
        <v>2.5</v>
      </c>
      <c r="J308" s="23">
        <v>45168</v>
      </c>
      <c r="K308" s="24">
        <v>2.75</v>
      </c>
      <c r="L308" s="23">
        <v>45259</v>
      </c>
      <c r="M308" s="24">
        <v>2.75</v>
      </c>
      <c r="N308" s="25"/>
      <c r="O308" s="24"/>
      <c r="P308" s="24"/>
      <c r="Q308" s="24"/>
      <c r="R308" s="24"/>
      <c r="S308" s="24"/>
      <c r="T308" s="26">
        <f t="shared" si="65"/>
        <v>10.5</v>
      </c>
    </row>
    <row r="309" spans="1:21" x14ac:dyDescent="0.25">
      <c r="B309" s="134" t="s">
        <v>262</v>
      </c>
      <c r="C309" s="137" t="s">
        <v>263</v>
      </c>
      <c r="D309" s="135" t="s">
        <v>55</v>
      </c>
      <c r="E309" s="22" t="s">
        <v>56</v>
      </c>
      <c r="F309" s="23">
        <v>44993</v>
      </c>
      <c r="G309" s="24">
        <v>2.09</v>
      </c>
      <c r="H309" s="23">
        <v>45077</v>
      </c>
      <c r="I309" s="24">
        <v>2.09</v>
      </c>
      <c r="J309" s="23">
        <v>45168</v>
      </c>
      <c r="K309" s="24">
        <v>2.09</v>
      </c>
      <c r="L309" s="23">
        <v>45259</v>
      </c>
      <c r="M309" s="24">
        <v>2.09</v>
      </c>
      <c r="N309" s="25"/>
      <c r="O309" s="24"/>
      <c r="P309" s="24"/>
      <c r="Q309" s="24"/>
      <c r="R309" s="24"/>
      <c r="S309" s="24"/>
      <c r="T309" s="26">
        <f t="shared" si="65"/>
        <v>8.36</v>
      </c>
    </row>
    <row r="310" spans="1:21" x14ac:dyDescent="0.25">
      <c r="B310" s="134" t="s">
        <v>683</v>
      </c>
      <c r="C310" s="137" t="s">
        <v>592</v>
      </c>
      <c r="D310" s="135" t="s">
        <v>55</v>
      </c>
      <c r="E310" s="22" t="s">
        <v>56</v>
      </c>
      <c r="F310" s="23">
        <v>44980</v>
      </c>
      <c r="G310" s="24">
        <v>1.03</v>
      </c>
      <c r="H310" s="23">
        <v>45057</v>
      </c>
      <c r="I310" s="24">
        <v>1.03</v>
      </c>
      <c r="J310" s="23">
        <v>45148</v>
      </c>
      <c r="K310" s="24">
        <v>1.03</v>
      </c>
      <c r="L310" s="23">
        <v>44935</v>
      </c>
      <c r="M310" s="24">
        <v>1.08</v>
      </c>
      <c r="N310" s="25"/>
      <c r="O310" s="24"/>
      <c r="P310" s="24"/>
      <c r="Q310" s="24"/>
      <c r="R310" s="24"/>
      <c r="S310" s="24"/>
      <c r="T310" s="26">
        <f t="shared" si="65"/>
        <v>4.17</v>
      </c>
    </row>
    <row r="311" spans="1:21" x14ac:dyDescent="0.25">
      <c r="B311" s="134" t="s">
        <v>553</v>
      </c>
      <c r="C311" s="137" t="s">
        <v>580</v>
      </c>
      <c r="D311" s="135" t="s">
        <v>55</v>
      </c>
      <c r="E311" s="22" t="s">
        <v>56</v>
      </c>
      <c r="F311" s="23">
        <v>44966</v>
      </c>
      <c r="G311" s="24">
        <v>1.65</v>
      </c>
      <c r="H311" s="23">
        <v>45055</v>
      </c>
      <c r="I311" s="24">
        <v>1.66</v>
      </c>
      <c r="J311" s="23">
        <v>45147</v>
      </c>
      <c r="K311" s="24">
        <v>1.66</v>
      </c>
      <c r="L311" s="23">
        <v>45239</v>
      </c>
      <c r="M311" s="24">
        <v>1.66</v>
      </c>
      <c r="N311" s="25"/>
      <c r="O311" s="24"/>
      <c r="P311" s="24"/>
      <c r="Q311" s="24"/>
      <c r="R311" s="24"/>
      <c r="S311" s="24"/>
      <c r="T311" s="26">
        <f t="shared" si="65"/>
        <v>6.63</v>
      </c>
    </row>
    <row r="312" spans="1:21" x14ac:dyDescent="0.25">
      <c r="B312" s="134" t="s">
        <v>612</v>
      </c>
      <c r="C312" s="137" t="s">
        <v>275</v>
      </c>
      <c r="D312" s="135" t="s">
        <v>55</v>
      </c>
      <c r="E312" s="22" t="s">
        <v>56</v>
      </c>
      <c r="F312" s="23">
        <v>44963</v>
      </c>
      <c r="G312" s="24">
        <v>0.36499999999999999</v>
      </c>
      <c r="H312" s="23">
        <v>45050</v>
      </c>
      <c r="I312" s="24">
        <v>0.125</v>
      </c>
      <c r="J312" s="23">
        <v>45142</v>
      </c>
      <c r="K312" s="24">
        <v>0.125</v>
      </c>
      <c r="L312" s="23">
        <v>45236</v>
      </c>
      <c r="M312" s="24">
        <v>0.125</v>
      </c>
      <c r="N312" s="25"/>
      <c r="O312" s="24"/>
      <c r="P312" s="24"/>
      <c r="Q312" s="24"/>
      <c r="R312" s="24"/>
      <c r="S312" s="24"/>
      <c r="T312" s="26">
        <f t="shared" si="65"/>
        <v>0.74</v>
      </c>
    </row>
    <row r="313" spans="1:21" x14ac:dyDescent="0.25">
      <c r="A313" s="33"/>
      <c r="B313" s="134" t="s">
        <v>280</v>
      </c>
      <c r="C313" s="137" t="s">
        <v>281</v>
      </c>
      <c r="D313" s="135" t="s">
        <v>55</v>
      </c>
      <c r="E313" s="22" t="s">
        <v>56</v>
      </c>
      <c r="F313" s="23">
        <v>44974</v>
      </c>
      <c r="G313" s="24">
        <v>1.1299999999999999</v>
      </c>
      <c r="H313" s="23">
        <v>45068</v>
      </c>
      <c r="I313" s="24">
        <v>1.19</v>
      </c>
      <c r="J313" s="23">
        <v>45163</v>
      </c>
      <c r="K313" s="24">
        <v>1.19</v>
      </c>
      <c r="L313" s="23">
        <v>45250</v>
      </c>
      <c r="M313" s="24">
        <v>1.19</v>
      </c>
      <c r="N313" s="25"/>
      <c r="O313" s="24"/>
      <c r="P313" s="24"/>
      <c r="Q313" s="24"/>
      <c r="R313" s="24"/>
      <c r="S313" s="24"/>
      <c r="T313" s="26">
        <f t="shared" si="65"/>
        <v>4.6999999999999993</v>
      </c>
      <c r="U313" s="36"/>
    </row>
    <row r="314" spans="1:21" x14ac:dyDescent="0.25">
      <c r="B314" s="134" t="s">
        <v>282</v>
      </c>
      <c r="C314" s="137" t="s">
        <v>283</v>
      </c>
      <c r="D314" s="135" t="s">
        <v>55</v>
      </c>
      <c r="E314" s="22" t="s">
        <v>56</v>
      </c>
      <c r="F314" s="23">
        <v>45021</v>
      </c>
      <c r="G314" s="24">
        <v>1</v>
      </c>
      <c r="H314" s="23">
        <v>45112</v>
      </c>
      <c r="I314" s="24">
        <v>1</v>
      </c>
      <c r="J314" s="23">
        <v>45204</v>
      </c>
      <c r="K314" s="24">
        <v>1.05</v>
      </c>
      <c r="L314" s="23">
        <v>45295</v>
      </c>
      <c r="M314" s="24">
        <v>1.05</v>
      </c>
      <c r="N314" s="25"/>
      <c r="O314" s="24"/>
      <c r="P314" s="24"/>
      <c r="Q314" s="24"/>
      <c r="R314" s="24"/>
      <c r="S314" s="24"/>
      <c r="T314" s="26">
        <f t="shared" si="65"/>
        <v>4.0999999999999996</v>
      </c>
    </row>
    <row r="315" spans="1:21" x14ac:dyDescent="0.25">
      <c r="B315" s="134" t="s">
        <v>562</v>
      </c>
      <c r="C315" s="137" t="s">
        <v>589</v>
      </c>
      <c r="D315" s="135" t="s">
        <v>55</v>
      </c>
      <c r="E315" s="22" t="s">
        <v>56</v>
      </c>
      <c r="F315" s="23">
        <v>45021</v>
      </c>
      <c r="G315" s="24">
        <v>0.56999999999999995</v>
      </c>
      <c r="H315" s="23">
        <v>45113</v>
      </c>
      <c r="I315" s="24">
        <v>0.56999999999999995</v>
      </c>
      <c r="J315" s="23">
        <v>45204</v>
      </c>
      <c r="K315" s="24">
        <v>0.56999999999999995</v>
      </c>
      <c r="L315" s="23">
        <v>45299</v>
      </c>
      <c r="M315" s="24">
        <v>0.66</v>
      </c>
      <c r="N315" s="25"/>
      <c r="O315" s="24"/>
      <c r="P315" s="24"/>
      <c r="Q315" s="24"/>
      <c r="R315" s="24"/>
      <c r="S315" s="24"/>
      <c r="T315" s="26">
        <f t="shared" si="65"/>
        <v>2.37</v>
      </c>
    </row>
    <row r="316" spans="1:21" x14ac:dyDescent="0.25">
      <c r="B316" s="134" t="s">
        <v>561</v>
      </c>
      <c r="C316" s="137" t="s">
        <v>588</v>
      </c>
      <c r="D316" s="135" t="s">
        <v>55</v>
      </c>
      <c r="E316" s="22" t="s">
        <v>56</v>
      </c>
      <c r="F316" s="23">
        <v>44985</v>
      </c>
      <c r="G316" s="24">
        <v>1.52</v>
      </c>
      <c r="H316" s="23">
        <v>45079</v>
      </c>
      <c r="I316" s="24">
        <v>1.52</v>
      </c>
      <c r="J316" s="23">
        <v>45169</v>
      </c>
      <c r="K316" s="24">
        <v>1.52</v>
      </c>
      <c r="L316" s="23">
        <v>45260</v>
      </c>
      <c r="M316" s="24">
        <v>1.67</v>
      </c>
      <c r="N316" s="25"/>
      <c r="O316" s="24"/>
      <c r="P316" s="24"/>
      <c r="Q316" s="24"/>
      <c r="R316" s="24"/>
      <c r="S316" s="24"/>
      <c r="T316" s="26">
        <f t="shared" si="65"/>
        <v>6.23</v>
      </c>
    </row>
    <row r="317" spans="1:21" x14ac:dyDescent="0.25">
      <c r="B317" s="134" t="s">
        <v>558</v>
      </c>
      <c r="C317" s="137" t="s">
        <v>585</v>
      </c>
      <c r="D317" s="135" t="s">
        <v>55</v>
      </c>
      <c r="E317" s="22" t="s">
        <v>56</v>
      </c>
      <c r="F317" s="23">
        <v>45008</v>
      </c>
      <c r="G317" s="24">
        <v>0.68</v>
      </c>
      <c r="H317" s="23">
        <v>45099</v>
      </c>
      <c r="I317" s="24">
        <v>0.69</v>
      </c>
      <c r="J317" s="23">
        <v>45190</v>
      </c>
      <c r="K317" s="24">
        <v>0.69</v>
      </c>
      <c r="L317" s="23">
        <v>45279</v>
      </c>
      <c r="M317" s="24">
        <v>0.69</v>
      </c>
      <c r="N317" s="25"/>
      <c r="O317" s="24"/>
      <c r="P317" s="24"/>
      <c r="Q317" s="24"/>
      <c r="R317" s="24"/>
      <c r="S317" s="24"/>
      <c r="T317" s="26">
        <f t="shared" si="65"/>
        <v>2.75</v>
      </c>
    </row>
    <row r="318" spans="1:21" x14ac:dyDescent="0.25">
      <c r="B318" s="134" t="s">
        <v>324</v>
      </c>
      <c r="C318" s="137" t="s">
        <v>325</v>
      </c>
      <c r="D318" s="135" t="s">
        <v>55</v>
      </c>
      <c r="E318" s="22" t="s">
        <v>56</v>
      </c>
      <c r="F318" s="23">
        <v>44999</v>
      </c>
      <c r="G318" s="24">
        <v>0.73</v>
      </c>
      <c r="H318" s="23">
        <v>45091</v>
      </c>
      <c r="I318" s="24">
        <v>0.73</v>
      </c>
      <c r="J318" s="23">
        <v>45183</v>
      </c>
      <c r="K318" s="24">
        <v>0.73</v>
      </c>
      <c r="L318" s="23">
        <v>45274</v>
      </c>
      <c r="M318" s="24">
        <v>0.77</v>
      </c>
      <c r="N318" s="25"/>
      <c r="O318" s="24"/>
      <c r="P318" s="24"/>
      <c r="Q318" s="24"/>
      <c r="R318" s="24"/>
      <c r="S318" s="24"/>
      <c r="T318" s="26">
        <f t="shared" si="65"/>
        <v>2.96</v>
      </c>
    </row>
    <row r="319" spans="1:21" x14ac:dyDescent="0.25">
      <c r="B319" s="134" t="s">
        <v>331</v>
      </c>
      <c r="C319" s="137" t="s">
        <v>332</v>
      </c>
      <c r="D319" s="135" t="s">
        <v>55</v>
      </c>
      <c r="E319" s="22" t="s">
        <v>56</v>
      </c>
      <c r="F319" s="23">
        <v>44972</v>
      </c>
      <c r="G319" s="24">
        <v>0.68</v>
      </c>
      <c r="H319" s="23">
        <v>45063</v>
      </c>
      <c r="I319" s="24">
        <v>0.68</v>
      </c>
      <c r="J319" s="23">
        <v>45154</v>
      </c>
      <c r="K319" s="24">
        <v>0.68</v>
      </c>
      <c r="L319" s="23">
        <v>45245</v>
      </c>
      <c r="M319" s="24">
        <v>0.75</v>
      </c>
      <c r="N319" s="25"/>
      <c r="O319" s="24"/>
      <c r="P319" s="24"/>
      <c r="Q319" s="24"/>
      <c r="R319" s="24"/>
      <c r="S319" s="24"/>
      <c r="T319" s="26">
        <f t="shared" si="65"/>
        <v>2.79</v>
      </c>
    </row>
    <row r="320" spans="1:21" x14ac:dyDescent="0.25">
      <c r="B320" s="134" t="s">
        <v>555</v>
      </c>
      <c r="C320" s="137" t="s">
        <v>582</v>
      </c>
      <c r="D320" s="138" t="s">
        <v>55</v>
      </c>
      <c r="E320" s="68" t="s">
        <v>56</v>
      </c>
      <c r="F320" s="23">
        <v>45026</v>
      </c>
      <c r="G320" s="24">
        <v>0.4</v>
      </c>
      <c r="H320" s="23">
        <v>45118</v>
      </c>
      <c r="I320" s="24">
        <v>0.4</v>
      </c>
      <c r="J320" s="23">
        <v>45210</v>
      </c>
      <c r="K320" s="24">
        <v>0.4</v>
      </c>
      <c r="L320" s="23">
        <v>45301</v>
      </c>
      <c r="M320" s="24">
        <v>0.4</v>
      </c>
      <c r="N320" s="25"/>
      <c r="O320" s="24"/>
      <c r="P320" s="24"/>
      <c r="Q320" s="24"/>
      <c r="R320" s="24"/>
      <c r="S320" s="24"/>
      <c r="T320" s="26">
        <f t="shared" si="65"/>
        <v>1.6</v>
      </c>
    </row>
    <row r="321" spans="2:20" x14ac:dyDescent="0.25">
      <c r="B321" s="134" t="s">
        <v>551</v>
      </c>
      <c r="C321" s="137" t="s">
        <v>578</v>
      </c>
      <c r="D321" s="135" t="s">
        <v>55</v>
      </c>
      <c r="E321" s="22" t="s">
        <v>56</v>
      </c>
      <c r="F321" s="23">
        <v>44987</v>
      </c>
      <c r="G321" s="24">
        <v>1.1499999999999999</v>
      </c>
      <c r="H321" s="23">
        <v>45078</v>
      </c>
      <c r="I321" s="24">
        <v>1.2649999999999999</v>
      </c>
      <c r="J321" s="23">
        <v>45169</v>
      </c>
      <c r="K321" s="24">
        <v>1.2649999999999999</v>
      </c>
      <c r="L321" s="23">
        <v>45260</v>
      </c>
      <c r="M321" s="24">
        <v>1.2649999999999999</v>
      </c>
      <c r="N321" s="25"/>
      <c r="O321" s="24"/>
      <c r="P321" s="24"/>
      <c r="Q321" s="24"/>
      <c r="R321" s="24"/>
      <c r="S321" s="24"/>
      <c r="T321" s="26">
        <f t="shared" si="65"/>
        <v>4.9449999999999994</v>
      </c>
    </row>
    <row r="322" spans="2:20" x14ac:dyDescent="0.25">
      <c r="B322" s="134" t="s">
        <v>363</v>
      </c>
      <c r="C322" s="137" t="s">
        <v>364</v>
      </c>
      <c r="D322" s="135" t="s">
        <v>55</v>
      </c>
      <c r="E322" s="22" t="s">
        <v>56</v>
      </c>
      <c r="F322" s="23">
        <v>44952</v>
      </c>
      <c r="G322" s="24">
        <v>0.41</v>
      </c>
      <c r="H322" s="23">
        <v>45057</v>
      </c>
      <c r="I322" s="24">
        <v>0.41</v>
      </c>
      <c r="J322" s="23">
        <v>45134</v>
      </c>
      <c r="K322" s="24">
        <v>0.41</v>
      </c>
      <c r="L322" s="23">
        <v>45239</v>
      </c>
      <c r="M322" s="24">
        <v>0.41</v>
      </c>
      <c r="N322" s="25"/>
      <c r="O322" s="24"/>
      <c r="P322" s="24"/>
      <c r="Q322" s="24"/>
      <c r="R322" s="24"/>
      <c r="S322" s="24"/>
      <c r="T322" s="26">
        <f t="shared" si="65"/>
        <v>1.64</v>
      </c>
    </row>
    <row r="323" spans="2:20" x14ac:dyDescent="0.25">
      <c r="B323" s="134" t="s">
        <v>606</v>
      </c>
      <c r="C323" s="137" t="s">
        <v>365</v>
      </c>
      <c r="D323" s="135" t="s">
        <v>55</v>
      </c>
      <c r="E323" s="22" t="s">
        <v>56</v>
      </c>
      <c r="F323" s="23">
        <v>45007</v>
      </c>
      <c r="G323" s="24">
        <v>1.27</v>
      </c>
      <c r="H323" s="23">
        <v>45099</v>
      </c>
      <c r="I323" s="24">
        <v>1.27</v>
      </c>
      <c r="J323" s="23">
        <v>45195</v>
      </c>
      <c r="K323" s="24">
        <v>1.3</v>
      </c>
      <c r="L323" s="23">
        <v>45280</v>
      </c>
      <c r="M323" s="24">
        <v>1.3</v>
      </c>
      <c r="N323" s="25"/>
      <c r="O323" s="24"/>
      <c r="P323" s="24"/>
      <c r="Q323" s="24"/>
      <c r="R323" s="24"/>
      <c r="S323" s="24"/>
      <c r="T323" s="26">
        <f t="shared" si="65"/>
        <v>5.14</v>
      </c>
    </row>
    <row r="324" spans="2:20" x14ac:dyDescent="0.25">
      <c r="B324" s="134" t="s">
        <v>355</v>
      </c>
      <c r="C324" s="137" t="s">
        <v>356</v>
      </c>
      <c r="D324" s="135" t="s">
        <v>55</v>
      </c>
      <c r="E324" s="22" t="s">
        <v>56</v>
      </c>
      <c r="F324" s="23">
        <v>45036</v>
      </c>
      <c r="G324" s="24">
        <v>0.94069999999999998</v>
      </c>
      <c r="H324" s="23">
        <v>45127</v>
      </c>
      <c r="I324" s="24">
        <v>0.94069999999999998</v>
      </c>
      <c r="J324" s="23">
        <v>45218</v>
      </c>
      <c r="K324" s="24">
        <v>0.94069999999999998</v>
      </c>
      <c r="L324" s="23">
        <v>45309</v>
      </c>
      <c r="M324" s="24">
        <v>0.94069999999999998</v>
      </c>
      <c r="N324" s="25"/>
      <c r="O324" s="24"/>
      <c r="P324" s="24"/>
      <c r="Q324" s="24"/>
      <c r="R324" s="24"/>
      <c r="S324" s="24"/>
      <c r="T324" s="26">
        <f t="shared" si="65"/>
        <v>3.7627999999999999</v>
      </c>
    </row>
    <row r="325" spans="2:20" x14ac:dyDescent="0.25">
      <c r="B325" s="134" t="s">
        <v>572</v>
      </c>
      <c r="C325" s="137" t="s">
        <v>599</v>
      </c>
      <c r="D325" s="135" t="s">
        <v>55</v>
      </c>
      <c r="E325" s="22" t="s">
        <v>56</v>
      </c>
      <c r="F325" s="23">
        <v>44986</v>
      </c>
      <c r="G325" s="24">
        <v>0.75</v>
      </c>
      <c r="H325" s="23">
        <v>45077</v>
      </c>
      <c r="I325" s="24">
        <v>0.8</v>
      </c>
      <c r="J325" s="23">
        <v>45168</v>
      </c>
      <c r="K325" s="24">
        <v>0.8</v>
      </c>
      <c r="L325" s="23">
        <v>45259</v>
      </c>
      <c r="M325" s="24">
        <v>0.8</v>
      </c>
      <c r="N325" s="25"/>
      <c r="O325" s="24"/>
      <c r="P325" s="140"/>
      <c r="Q325" s="140"/>
      <c r="R325" s="140"/>
      <c r="S325" s="140"/>
      <c r="T325" s="26">
        <f t="shared" si="65"/>
        <v>3.1500000000000004</v>
      </c>
    </row>
    <row r="326" spans="2:20" x14ac:dyDescent="0.25">
      <c r="B326" s="134" t="s">
        <v>559</v>
      </c>
      <c r="C326" s="137" t="s">
        <v>586</v>
      </c>
      <c r="D326" s="135" t="s">
        <v>55</v>
      </c>
      <c r="E326" s="22" t="s">
        <v>56</v>
      </c>
      <c r="F326" s="23">
        <v>44964</v>
      </c>
      <c r="G326" s="24">
        <v>0.25</v>
      </c>
      <c r="H326" s="23">
        <v>45083</v>
      </c>
      <c r="I326" s="24">
        <v>0.25</v>
      </c>
      <c r="J326" s="23">
        <v>45174</v>
      </c>
      <c r="K326" s="24">
        <v>0.25</v>
      </c>
      <c r="L326" s="23">
        <v>45265</v>
      </c>
      <c r="M326" s="24">
        <v>0.25</v>
      </c>
      <c r="N326" s="25"/>
      <c r="O326" s="24"/>
      <c r="P326" s="24"/>
      <c r="Q326" s="24"/>
      <c r="R326" s="24"/>
      <c r="S326" s="24"/>
      <c r="T326" s="26">
        <f t="shared" si="65"/>
        <v>1</v>
      </c>
    </row>
    <row r="327" spans="2:20" x14ac:dyDescent="0.25">
      <c r="B327" s="134" t="s">
        <v>443</v>
      </c>
      <c r="C327" s="137" t="s">
        <v>444</v>
      </c>
      <c r="D327" s="135" t="s">
        <v>55</v>
      </c>
      <c r="E327" s="22" t="s">
        <v>56</v>
      </c>
      <c r="F327" s="23">
        <v>44974</v>
      </c>
      <c r="G327" s="24">
        <v>0.68</v>
      </c>
      <c r="H327" s="23">
        <v>45058</v>
      </c>
      <c r="I327" s="24">
        <v>0.7</v>
      </c>
      <c r="J327" s="23">
        <v>45156</v>
      </c>
      <c r="K327" s="24">
        <v>0.7</v>
      </c>
      <c r="L327" s="23">
        <v>45613</v>
      </c>
      <c r="M327" s="24">
        <v>0.7</v>
      </c>
      <c r="N327" s="25"/>
      <c r="O327" s="24"/>
      <c r="P327" s="24"/>
      <c r="Q327" s="24"/>
      <c r="R327" s="24"/>
      <c r="S327" s="24"/>
      <c r="T327" s="26">
        <f t="shared" si="65"/>
        <v>2.7800000000000002</v>
      </c>
    </row>
    <row r="328" spans="2:20" x14ac:dyDescent="0.25">
      <c r="B328" s="134" t="s">
        <v>571</v>
      </c>
      <c r="C328" s="137" t="s">
        <v>598</v>
      </c>
      <c r="D328" s="135" t="s">
        <v>55</v>
      </c>
      <c r="E328" s="22" t="s">
        <v>56</v>
      </c>
      <c r="F328" s="23">
        <v>44966</v>
      </c>
      <c r="G328" s="24">
        <v>0.53</v>
      </c>
      <c r="H328" s="23">
        <v>45057</v>
      </c>
      <c r="I328" s="24">
        <v>0.53</v>
      </c>
      <c r="J328" s="23">
        <v>45148</v>
      </c>
      <c r="K328" s="24">
        <v>0.53</v>
      </c>
      <c r="L328" s="23">
        <v>45239</v>
      </c>
      <c r="M328" s="24">
        <v>0.56999999999999995</v>
      </c>
      <c r="N328" s="25"/>
      <c r="O328" s="24"/>
      <c r="P328" s="24"/>
      <c r="Q328" s="24"/>
      <c r="R328" s="24"/>
      <c r="S328" s="24"/>
      <c r="T328" s="26">
        <f t="shared" si="65"/>
        <v>2.16</v>
      </c>
    </row>
    <row r="329" spans="2:20" x14ac:dyDescent="0.25">
      <c r="B329" s="134" t="s">
        <v>576</v>
      </c>
      <c r="C329" s="137" t="s">
        <v>603</v>
      </c>
      <c r="D329" s="135" t="s">
        <v>55</v>
      </c>
      <c r="E329" s="22" t="s">
        <v>56</v>
      </c>
      <c r="F329" s="23">
        <v>44956</v>
      </c>
      <c r="G329" s="24">
        <v>1.24</v>
      </c>
      <c r="H329" s="23">
        <v>45051</v>
      </c>
      <c r="I329" s="24">
        <v>1.24</v>
      </c>
      <c r="J329" s="23">
        <v>45135</v>
      </c>
      <c r="K329" s="24">
        <v>1.24</v>
      </c>
      <c r="L329" s="23">
        <v>45229</v>
      </c>
      <c r="M329" s="24">
        <v>1.3</v>
      </c>
      <c r="N329" s="25"/>
      <c r="O329" s="24"/>
      <c r="P329" s="24"/>
      <c r="Q329" s="24"/>
      <c r="R329" s="24"/>
      <c r="S329" s="24"/>
      <c r="T329" s="26">
        <f t="shared" si="65"/>
        <v>5.0199999999999996</v>
      </c>
    </row>
    <row r="330" spans="2:20" x14ac:dyDescent="0.25">
      <c r="B330" s="134" t="s">
        <v>569</v>
      </c>
      <c r="C330" s="137" t="s">
        <v>596</v>
      </c>
      <c r="D330" s="135" t="s">
        <v>55</v>
      </c>
      <c r="E330" s="22" t="s">
        <v>56</v>
      </c>
      <c r="F330" s="23">
        <v>44984</v>
      </c>
      <c r="G330" s="24">
        <v>1.3</v>
      </c>
      <c r="H330" s="23">
        <v>45076</v>
      </c>
      <c r="I330" s="24">
        <v>1.3</v>
      </c>
      <c r="J330" s="23">
        <v>45168</v>
      </c>
      <c r="K330" s="24">
        <v>1.3</v>
      </c>
      <c r="L330" s="23">
        <v>45267</v>
      </c>
      <c r="M330" s="24">
        <v>1.3</v>
      </c>
      <c r="N330" s="25"/>
      <c r="O330" s="24"/>
      <c r="P330" s="24"/>
      <c r="Q330" s="24"/>
      <c r="R330" s="24"/>
      <c r="S330" s="24"/>
      <c r="T330" s="26">
        <f t="shared" si="65"/>
        <v>5.2</v>
      </c>
    </row>
    <row r="331" spans="2:20" x14ac:dyDescent="0.25">
      <c r="B331" s="134" t="s">
        <v>937</v>
      </c>
      <c r="C331" s="137" t="s">
        <v>600</v>
      </c>
      <c r="D331" s="135" t="s">
        <v>55</v>
      </c>
      <c r="E331" s="22" t="s">
        <v>56</v>
      </c>
      <c r="F331" s="23">
        <v>44980</v>
      </c>
      <c r="G331" s="24">
        <v>0.55000000000000004</v>
      </c>
      <c r="H331" s="23">
        <v>45064</v>
      </c>
      <c r="I331" s="24">
        <v>0.59</v>
      </c>
      <c r="J331" s="23">
        <v>45155</v>
      </c>
      <c r="K331" s="24">
        <v>0.59</v>
      </c>
      <c r="L331" s="23">
        <v>45614</v>
      </c>
      <c r="M331" s="24">
        <v>0.59</v>
      </c>
      <c r="N331" s="25"/>
      <c r="O331" s="24"/>
      <c r="P331" s="24"/>
      <c r="Q331" s="24"/>
      <c r="R331" s="24"/>
      <c r="S331" s="24"/>
      <c r="T331" s="26">
        <f t="shared" si="65"/>
        <v>2.3199999999999998</v>
      </c>
    </row>
    <row r="332" spans="2:20" x14ac:dyDescent="0.25">
      <c r="B332" s="134" t="s">
        <v>552</v>
      </c>
      <c r="C332" s="137" t="s">
        <v>579</v>
      </c>
      <c r="D332" s="135" t="s">
        <v>55</v>
      </c>
      <c r="E332" s="22" t="s">
        <v>56</v>
      </c>
      <c r="F332" s="23">
        <v>44995</v>
      </c>
      <c r="G332" s="24">
        <v>1.65</v>
      </c>
      <c r="H332" s="23">
        <v>45092</v>
      </c>
      <c r="I332" s="24">
        <v>1.88</v>
      </c>
      <c r="J332" s="23">
        <v>45177</v>
      </c>
      <c r="K332" s="24">
        <v>1.88</v>
      </c>
      <c r="L332" s="23">
        <v>45261</v>
      </c>
      <c r="M332" s="24">
        <v>1.88</v>
      </c>
      <c r="N332" s="25"/>
      <c r="O332" s="24"/>
      <c r="P332" s="24"/>
      <c r="Q332" s="24"/>
      <c r="R332" s="24"/>
      <c r="S332" s="24"/>
      <c r="T332" s="26">
        <f t="shared" si="65"/>
        <v>7.29</v>
      </c>
    </row>
    <row r="333" spans="2:20" x14ac:dyDescent="0.25">
      <c r="B333" s="134" t="s">
        <v>574</v>
      </c>
      <c r="C333" s="137" t="s">
        <v>601</v>
      </c>
      <c r="D333" s="135" t="s">
        <v>55</v>
      </c>
      <c r="E333" s="22" t="s">
        <v>56</v>
      </c>
      <c r="F333" s="23">
        <v>45015</v>
      </c>
      <c r="G333" s="24">
        <v>0.48</v>
      </c>
      <c r="H333" s="23">
        <v>45106</v>
      </c>
      <c r="I333" s="24">
        <v>0.48</v>
      </c>
      <c r="J333" s="23">
        <v>45197</v>
      </c>
      <c r="K333" s="24">
        <v>0.48</v>
      </c>
      <c r="L333" s="23">
        <v>45288</v>
      </c>
      <c r="M333" s="24">
        <v>0.49</v>
      </c>
      <c r="N333" s="25"/>
      <c r="O333" s="24"/>
      <c r="P333" s="24"/>
      <c r="Q333" s="24"/>
      <c r="R333" s="24"/>
      <c r="S333" s="24"/>
      <c r="T333" s="26">
        <f t="shared" si="65"/>
        <v>1.93</v>
      </c>
    </row>
    <row r="334" spans="2:20" x14ac:dyDescent="0.25">
      <c r="B334" s="134" t="s">
        <v>518</v>
      </c>
      <c r="C334" s="137" t="s">
        <v>519</v>
      </c>
      <c r="D334" s="135" t="s">
        <v>55</v>
      </c>
      <c r="E334" s="22" t="s">
        <v>56</v>
      </c>
      <c r="F334" s="23">
        <v>45022</v>
      </c>
      <c r="G334" s="24">
        <v>0.65249999999999997</v>
      </c>
      <c r="H334" s="23">
        <v>45114</v>
      </c>
      <c r="I334" s="24">
        <v>0.65249999999999997</v>
      </c>
      <c r="J334" s="23">
        <v>45205</v>
      </c>
      <c r="K334" s="24">
        <v>0.66500000000000004</v>
      </c>
      <c r="L334" s="23">
        <v>45300</v>
      </c>
      <c r="M334" s="24">
        <v>0.66500000000000004</v>
      </c>
      <c r="N334" s="25"/>
      <c r="O334" s="24"/>
      <c r="P334" s="24"/>
      <c r="Q334" s="24"/>
      <c r="R334" s="24"/>
      <c r="S334" s="24"/>
      <c r="T334" s="26">
        <f t="shared" si="65"/>
        <v>2.6349999999999998</v>
      </c>
    </row>
    <row r="335" spans="2:20" x14ac:dyDescent="0.25">
      <c r="B335" s="134" t="s">
        <v>522</v>
      </c>
      <c r="C335" s="137" t="s">
        <v>523</v>
      </c>
      <c r="D335" s="135" t="s">
        <v>55</v>
      </c>
      <c r="E335" s="22" t="s">
        <v>56</v>
      </c>
      <c r="F335" s="23">
        <v>44966</v>
      </c>
      <c r="G335" s="24">
        <v>0.45</v>
      </c>
      <c r="H335" s="23">
        <v>45057</v>
      </c>
      <c r="I335" s="24">
        <v>0.45</v>
      </c>
      <c r="J335" s="23">
        <v>45148</v>
      </c>
      <c r="K335" s="24">
        <v>0.45</v>
      </c>
      <c r="L335" s="23">
        <v>45238</v>
      </c>
      <c r="M335" s="24">
        <v>0.52</v>
      </c>
      <c r="N335" s="25"/>
      <c r="O335" s="24"/>
      <c r="P335" s="24"/>
      <c r="Q335" s="24"/>
      <c r="R335" s="24"/>
      <c r="S335" s="24"/>
      <c r="T335" s="26">
        <f t="shared" si="65"/>
        <v>1.87</v>
      </c>
    </row>
    <row r="336" spans="2:20" x14ac:dyDescent="0.25">
      <c r="B336" s="134" t="s">
        <v>631</v>
      </c>
      <c r="C336" s="137" t="s">
        <v>587</v>
      </c>
      <c r="D336" s="135" t="s">
        <v>55</v>
      </c>
      <c r="E336" s="22" t="s">
        <v>56</v>
      </c>
      <c r="F336" s="23">
        <v>45001</v>
      </c>
      <c r="G336" s="24">
        <v>0.56999999999999995</v>
      </c>
      <c r="H336" s="23">
        <v>45050</v>
      </c>
      <c r="I336" s="24">
        <v>0.56999999999999995</v>
      </c>
      <c r="J336" s="23">
        <v>45148</v>
      </c>
      <c r="K336" s="24">
        <v>0.56999999999999995</v>
      </c>
      <c r="L336" s="23">
        <v>45267</v>
      </c>
      <c r="M336" s="24">
        <v>0.56999999999999995</v>
      </c>
      <c r="N336" s="25"/>
      <c r="O336" s="24"/>
      <c r="P336" s="24"/>
      <c r="Q336" s="24"/>
      <c r="R336" s="24"/>
      <c r="S336" s="24"/>
      <c r="T336" s="26">
        <f t="shared" si="65"/>
        <v>2.2799999999999998</v>
      </c>
    </row>
    <row r="337" spans="2:20" x14ac:dyDescent="0.25">
      <c r="B337" s="134" t="s">
        <v>536</v>
      </c>
      <c r="C337" s="137" t="s">
        <v>537</v>
      </c>
      <c r="D337" s="135" t="s">
        <v>55</v>
      </c>
      <c r="E337" s="22" t="s">
        <v>56</v>
      </c>
      <c r="F337" s="23">
        <v>45268</v>
      </c>
      <c r="G337" s="24">
        <v>0.3</v>
      </c>
      <c r="H337" s="23"/>
      <c r="I337" s="24"/>
      <c r="J337" s="23"/>
      <c r="K337" s="24"/>
      <c r="L337" s="23"/>
      <c r="M337" s="24"/>
      <c r="N337" s="25"/>
      <c r="O337" s="24"/>
      <c r="P337" s="24"/>
      <c r="Q337" s="24"/>
      <c r="R337" s="24"/>
      <c r="S337" s="24"/>
      <c r="T337" s="26">
        <f t="shared" si="65"/>
        <v>0.3</v>
      </c>
    </row>
    <row r="338" spans="2:20" x14ac:dyDescent="0.25">
      <c r="B338" s="134" t="s">
        <v>538</v>
      </c>
      <c r="C338" s="137" t="s">
        <v>539</v>
      </c>
      <c r="D338" s="135" t="s">
        <v>55</v>
      </c>
      <c r="E338" s="22" t="s">
        <v>56</v>
      </c>
      <c r="F338" s="23">
        <v>44959</v>
      </c>
      <c r="G338" s="24">
        <v>0.3</v>
      </c>
      <c r="H338" s="23">
        <v>45050</v>
      </c>
      <c r="I338" s="24">
        <v>0.3</v>
      </c>
      <c r="J338" s="23">
        <v>45141</v>
      </c>
      <c r="K338" s="24">
        <v>0.35</v>
      </c>
      <c r="L338" s="23">
        <v>45232</v>
      </c>
      <c r="M338" s="24">
        <v>0.35</v>
      </c>
      <c r="N338" s="25"/>
      <c r="O338" s="24"/>
      <c r="P338" s="24"/>
      <c r="Q338" s="24"/>
      <c r="R338" s="24"/>
      <c r="S338" s="24"/>
      <c r="T338" s="26">
        <f t="shared" si="65"/>
        <v>1.2999999999999998</v>
      </c>
    </row>
  </sheetData>
  <sheetProtection algorithmName="SHA-512" hashValue="/mp2vodw0Xg+y1XljwF3/nA2AQkAaYUhLwMMT8q8j+d7HS7V1mj1Xq45T7Hh6cx5A5694rxRR6ww5m3jJeADpA==" saltValue="oiKcTXBMIj35whn/nXhgzw==" spinCount="100000" sheet="1" objects="1" scenarios="1"/>
  <mergeCells count="4">
    <mergeCell ref="H9:I9"/>
    <mergeCell ref="J9:K9"/>
    <mergeCell ref="L9:M9"/>
    <mergeCell ref="F11:T11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0"/>
  <dimension ref="A1:U357"/>
  <sheetViews>
    <sheetView showGridLines="0" zoomScale="85" zoomScaleNormal="85" workbookViewId="0">
      <pane xSplit="1" ySplit="12" topLeftCell="B13" activePane="bottomRight" state="frozen"/>
      <selection pane="topRight" activeCell="B1" sqref="B1"/>
      <selection pane="bottomLeft" activeCell="A13" sqref="A13"/>
      <selection pane="bottomRight" activeCell="T21" sqref="T21"/>
    </sheetView>
  </sheetViews>
  <sheetFormatPr defaultColWidth="0" defaultRowHeight="15" x14ac:dyDescent="0.25"/>
  <cols>
    <col min="1" max="1" width="3" customWidth="1"/>
    <col min="2" max="2" width="46.5703125" bestFit="1" customWidth="1"/>
    <col min="3" max="3" width="13.7109375" bestFit="1" customWidth="1"/>
    <col min="4" max="4" width="15.5703125" bestFit="1" customWidth="1"/>
    <col min="5" max="5" width="9.28515625" customWidth="1"/>
    <col min="6" max="6" width="9.7109375" customWidth="1"/>
    <col min="7" max="7" width="9.28515625" customWidth="1"/>
    <col min="8" max="8" width="9.7109375" customWidth="1"/>
    <col min="9" max="9" width="9.28515625" customWidth="1"/>
    <col min="10" max="10" width="9.5703125" bestFit="1" customWidth="1"/>
    <col min="11" max="11" width="9.28515625" customWidth="1"/>
    <col min="12" max="12" width="10" customWidth="1"/>
    <col min="13" max="13" width="9.28515625" customWidth="1"/>
    <col min="14" max="14" width="10" customWidth="1"/>
    <col min="15" max="15" width="9.28515625" customWidth="1"/>
    <col min="16" max="16" width="0.5703125" customWidth="1"/>
    <col min="17" max="20" width="10.7109375" customWidth="1"/>
    <col min="21" max="21" width="3" customWidth="1"/>
    <col min="22" max="16384" width="9.28515625" hidden="1"/>
  </cols>
  <sheetData>
    <row r="1" spans="2:20" x14ac:dyDescent="0.25"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2:20" x14ac:dyDescent="0.25"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2:20" x14ac:dyDescent="0.25"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2:20" x14ac:dyDescent="0.25"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</row>
    <row r="5" spans="2:20" x14ac:dyDescent="0.25"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2:20" x14ac:dyDescent="0.25"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2:20" x14ac:dyDescent="0.25"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2:20" ht="49.5" customHeight="1" x14ac:dyDescent="0.25"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2:20" ht="15" customHeight="1" x14ac:dyDescent="0.25">
      <c r="H9" s="178"/>
      <c r="I9" s="178"/>
      <c r="J9" s="179"/>
      <c r="K9" s="179"/>
      <c r="L9" s="180" t="s">
        <v>0</v>
      </c>
      <c r="M9" s="180"/>
      <c r="N9" s="1"/>
      <c r="O9" s="2" t="s">
        <v>1</v>
      </c>
      <c r="P9" s="2"/>
      <c r="Q9" s="2"/>
      <c r="R9" s="2"/>
      <c r="S9" s="2"/>
      <c r="T9" s="3">
        <v>44946</v>
      </c>
    </row>
    <row r="10" spans="2:20" ht="3.75" customHeight="1" x14ac:dyDescent="0.25">
      <c r="F10" s="1"/>
      <c r="G10" s="1"/>
      <c r="H10" s="1"/>
      <c r="I10" s="1"/>
      <c r="J10" s="1"/>
      <c r="K10" s="1"/>
      <c r="L10" s="1"/>
      <c r="M10" s="1"/>
      <c r="N10" s="1"/>
      <c r="O10" s="2"/>
      <c r="P10" s="2"/>
      <c r="Q10" s="2"/>
      <c r="R10" s="2"/>
      <c r="S10" s="2"/>
      <c r="T10" s="3"/>
    </row>
    <row r="11" spans="2:20" ht="50.25" customHeight="1" x14ac:dyDescent="0.25">
      <c r="B11" s="4" t="s">
        <v>2</v>
      </c>
      <c r="C11" s="5"/>
      <c r="D11" s="5"/>
      <c r="E11" s="5"/>
      <c r="F11" s="181" t="s">
        <v>818</v>
      </c>
      <c r="G11" s="181"/>
      <c r="H11" s="181"/>
      <c r="I11" s="181"/>
      <c r="J11" s="181"/>
      <c r="K11" s="181"/>
      <c r="L11" s="181"/>
      <c r="M11" s="181"/>
      <c r="N11" s="181"/>
      <c r="O11" s="181"/>
      <c r="P11" s="181"/>
      <c r="Q11" s="181"/>
      <c r="R11" s="181"/>
      <c r="S11" s="181"/>
      <c r="T11" s="177"/>
    </row>
    <row r="12" spans="2:20" x14ac:dyDescent="0.25">
      <c r="B12" s="7" t="s">
        <v>4</v>
      </c>
      <c r="C12" s="7" t="s">
        <v>5</v>
      </c>
      <c r="D12" s="7" t="s">
        <v>6</v>
      </c>
      <c r="E12" s="7" t="s">
        <v>7</v>
      </c>
      <c r="F12" s="8" t="s">
        <v>8</v>
      </c>
      <c r="G12" s="8"/>
      <c r="H12" s="8" t="s">
        <v>9</v>
      </c>
      <c r="I12" s="8"/>
      <c r="J12" s="8" t="s">
        <v>10</v>
      </c>
      <c r="K12" s="8"/>
      <c r="L12" s="8" t="s">
        <v>11</v>
      </c>
      <c r="M12" s="8"/>
      <c r="N12" s="8" t="s">
        <v>605</v>
      </c>
      <c r="O12" s="8"/>
      <c r="P12" s="8"/>
      <c r="Q12" s="8" t="s">
        <v>706</v>
      </c>
      <c r="R12" s="8" t="s">
        <v>707</v>
      </c>
      <c r="S12" s="8" t="s">
        <v>708</v>
      </c>
      <c r="T12" s="8" t="s">
        <v>705</v>
      </c>
    </row>
    <row r="13" spans="2:20" ht="6.75" customHeight="1" x14ac:dyDescent="0.25">
      <c r="B13" s="9"/>
      <c r="C13" s="9"/>
      <c r="D13" s="9"/>
      <c r="E13" s="10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</row>
    <row r="14" spans="2:20" x14ac:dyDescent="0.25">
      <c r="B14" s="117" t="s">
        <v>13</v>
      </c>
      <c r="C14" s="136" t="s">
        <v>14</v>
      </c>
      <c r="D14" s="14" t="s">
        <v>15</v>
      </c>
      <c r="E14" s="14" t="s">
        <v>16</v>
      </c>
      <c r="F14" s="15">
        <v>44704</v>
      </c>
      <c r="G14" s="16">
        <f>0.0824+0.008</f>
        <v>9.0400000000000008E-2</v>
      </c>
      <c r="H14" s="15"/>
      <c r="I14" s="16"/>
      <c r="J14" s="15"/>
      <c r="K14" s="16"/>
      <c r="L14" s="15"/>
      <c r="M14" s="63"/>
      <c r="N14" s="17"/>
      <c r="O14" s="16"/>
      <c r="P14" s="16"/>
      <c r="Q14" s="152">
        <f t="shared" ref="Q14:Q84" si="0">IF(F14&lt;=Exp22Q1,G14,0)+IF(H14&lt;=Exp22Q1,I14,0)+IF(J14&lt;=Exp22Q1,K14,0)+IF(L14&lt;=Exp22Q1,M14,0)+IF(N14&lt;=Exp22Q1,O14,0)</f>
        <v>0</v>
      </c>
      <c r="R14" s="152">
        <f t="shared" ref="R14:R84" si="1">IF(F14&lt;=Exp22H1,G14,0)+IF(H14&lt;=Exp22H1,I14,0)+IF(J14&lt;=Exp22H1,K14,0)+IF(L14&lt;=Exp22H1,M14,0)+IF(N14&lt;=Exp22H1,O14,0)</f>
        <v>9.0400000000000008E-2</v>
      </c>
      <c r="S14" s="152">
        <f t="shared" ref="S14:S84" si="2">IF(F14&lt;=Exp22Q3,G14,0)+IF(H14&lt;=Exp22Q3,I14,0)+IF(J14&lt;=Exp22Q3,K14,0)+IF(L14&lt;=Exp22Q3,M14,0)+IF(N14&lt;=Exp22Q3,O14,0)</f>
        <v>9.0400000000000008E-2</v>
      </c>
      <c r="T14" s="18">
        <f t="shared" ref="T14:T90" si="3">G14+I14+K14+M14+O14</f>
        <v>9.0400000000000008E-2</v>
      </c>
    </row>
    <row r="15" spans="2:20" x14ac:dyDescent="0.25">
      <c r="B15" s="117" t="s">
        <v>684</v>
      </c>
      <c r="C15" s="136" t="s">
        <v>18</v>
      </c>
      <c r="D15" s="14" t="s">
        <v>15</v>
      </c>
      <c r="E15" s="14" t="s">
        <v>16</v>
      </c>
      <c r="F15" s="153">
        <v>44704</v>
      </c>
      <c r="G15" s="154">
        <f>1.01*0.98533456</f>
        <v>0.99518790560000003</v>
      </c>
      <c r="H15" s="15"/>
      <c r="I15" s="16"/>
      <c r="J15" s="15"/>
      <c r="K15" s="16"/>
      <c r="L15" s="15"/>
      <c r="M15" s="63"/>
      <c r="N15" s="17"/>
      <c r="O15" s="16"/>
      <c r="P15" s="16"/>
      <c r="Q15" s="152">
        <f t="shared" si="0"/>
        <v>0</v>
      </c>
      <c r="R15" s="152">
        <f t="shared" si="1"/>
        <v>0.99518790560000003</v>
      </c>
      <c r="S15" s="152">
        <f t="shared" si="2"/>
        <v>0.99518790560000003</v>
      </c>
      <c r="T15" s="18">
        <f t="shared" si="3"/>
        <v>0.99518790560000003</v>
      </c>
    </row>
    <row r="16" spans="2:20" x14ac:dyDescent="0.25">
      <c r="B16" s="117" t="s">
        <v>19</v>
      </c>
      <c r="C16" s="136" t="s">
        <v>20</v>
      </c>
      <c r="D16" s="14" t="s">
        <v>15</v>
      </c>
      <c r="E16" s="14" t="s">
        <v>21</v>
      </c>
      <c r="F16" s="15">
        <v>44648</v>
      </c>
      <c r="G16" s="16">
        <v>0.82</v>
      </c>
      <c r="H16" s="15"/>
      <c r="I16" s="16"/>
      <c r="J16" s="15"/>
      <c r="K16" s="16"/>
      <c r="L16" s="15"/>
      <c r="M16" s="63"/>
      <c r="N16" s="17"/>
      <c r="O16" s="16"/>
      <c r="P16" s="16"/>
      <c r="Q16" s="152">
        <f t="shared" si="0"/>
        <v>0</v>
      </c>
      <c r="R16" s="152">
        <f t="shared" si="1"/>
        <v>0.82</v>
      </c>
      <c r="S16" s="152">
        <f t="shared" si="2"/>
        <v>0.82</v>
      </c>
      <c r="T16" s="18">
        <f t="shared" si="3"/>
        <v>0.82</v>
      </c>
    </row>
    <row r="17" spans="2:20" x14ac:dyDescent="0.25">
      <c r="B17" s="117" t="s">
        <v>715</v>
      </c>
      <c r="C17" s="136" t="s">
        <v>716</v>
      </c>
      <c r="D17" s="14" t="s">
        <v>15</v>
      </c>
      <c r="E17" s="14" t="s">
        <v>16</v>
      </c>
      <c r="F17" s="15">
        <v>44673</v>
      </c>
      <c r="G17" s="16">
        <v>0.61</v>
      </c>
      <c r="H17" s="15">
        <v>44790</v>
      </c>
      <c r="I17" s="16">
        <v>0.32</v>
      </c>
      <c r="J17" s="15"/>
      <c r="K17" s="16"/>
      <c r="L17" s="15"/>
      <c r="M17" s="63"/>
      <c r="N17" s="17"/>
      <c r="O17" s="16"/>
      <c r="P17" s="16"/>
      <c r="Q17" s="152">
        <f t="shared" si="0"/>
        <v>0</v>
      </c>
      <c r="R17" s="152">
        <f t="shared" si="1"/>
        <v>0.61</v>
      </c>
      <c r="S17" s="152">
        <f t="shared" si="2"/>
        <v>0.92999999999999994</v>
      </c>
      <c r="T17" s="18">
        <f t="shared" si="3"/>
        <v>0.92999999999999994</v>
      </c>
    </row>
    <row r="18" spans="2:20" x14ac:dyDescent="0.25">
      <c r="B18" s="117" t="s">
        <v>22</v>
      </c>
      <c r="C18" s="136" t="s">
        <v>23</v>
      </c>
      <c r="D18" s="14" t="s">
        <v>24</v>
      </c>
      <c r="E18" s="14" t="s">
        <v>16</v>
      </c>
      <c r="F18" s="15"/>
      <c r="G18" s="16"/>
      <c r="H18" s="15"/>
      <c r="I18" s="16"/>
      <c r="J18" s="15"/>
      <c r="K18" s="16"/>
      <c r="L18" s="15"/>
      <c r="M18" s="63"/>
      <c r="N18" s="17"/>
      <c r="O18" s="16"/>
      <c r="P18" s="16"/>
      <c r="Q18" s="152">
        <f t="shared" si="0"/>
        <v>0</v>
      </c>
      <c r="R18" s="152">
        <f t="shared" si="1"/>
        <v>0</v>
      </c>
      <c r="S18" s="152">
        <f t="shared" si="2"/>
        <v>0</v>
      </c>
      <c r="T18" s="18">
        <f t="shared" si="3"/>
        <v>0</v>
      </c>
    </row>
    <row r="19" spans="2:20" x14ac:dyDescent="0.25">
      <c r="B19" s="117" t="s">
        <v>25</v>
      </c>
      <c r="C19" s="136" t="s">
        <v>26</v>
      </c>
      <c r="D19" s="14" t="s">
        <v>27</v>
      </c>
      <c r="E19" s="14" t="s">
        <v>16</v>
      </c>
      <c r="F19" s="15">
        <v>44711</v>
      </c>
      <c r="G19" s="16">
        <v>2.75</v>
      </c>
      <c r="H19" s="15"/>
      <c r="I19" s="16"/>
      <c r="J19" s="15"/>
      <c r="K19" s="16"/>
      <c r="L19" s="15"/>
      <c r="M19" s="63"/>
      <c r="N19" s="17"/>
      <c r="O19" s="16"/>
      <c r="P19" s="16"/>
      <c r="Q19" s="152">
        <f t="shared" si="0"/>
        <v>0</v>
      </c>
      <c r="R19" s="152">
        <f t="shared" si="1"/>
        <v>2.75</v>
      </c>
      <c r="S19" s="152">
        <f t="shared" si="2"/>
        <v>2.75</v>
      </c>
      <c r="T19" s="18">
        <f t="shared" si="3"/>
        <v>2.75</v>
      </c>
    </row>
    <row r="20" spans="2:20" x14ac:dyDescent="0.25">
      <c r="B20" s="117" t="s">
        <v>863</v>
      </c>
      <c r="C20" s="136" t="s">
        <v>864</v>
      </c>
      <c r="D20" s="14" t="s">
        <v>15</v>
      </c>
      <c r="E20" s="14" t="s">
        <v>16</v>
      </c>
      <c r="F20" s="15">
        <v>44575</v>
      </c>
      <c r="G20" s="16">
        <v>0.46800000000000003</v>
      </c>
      <c r="H20" s="15">
        <v>44743</v>
      </c>
      <c r="I20" s="16">
        <v>1.484</v>
      </c>
      <c r="J20" s="15">
        <v>44775</v>
      </c>
      <c r="K20" s="16">
        <v>0.05</v>
      </c>
      <c r="L20" s="15"/>
      <c r="M20" s="63"/>
      <c r="N20" s="17"/>
      <c r="O20" s="16"/>
      <c r="P20" s="16"/>
      <c r="Q20" s="152">
        <f t="shared" ref="Q20" si="4">IF(F20&lt;=Exp22Q1,G20,0)+IF(H20&lt;=Exp22Q1,I20,0)+IF(J20&lt;=Exp22Q1,K20,0)+IF(L20&lt;=Exp22Q1,M20,0)+IF(N20&lt;=Exp22Q1,O20,0)</f>
        <v>0.46800000000000003</v>
      </c>
      <c r="R20" s="152">
        <f t="shared" ref="R20" si="5">IF(F20&lt;=Exp22H1,G20,0)+IF(H20&lt;=Exp22H1,I20,0)+IF(J20&lt;=Exp22H1,K20,0)+IF(L20&lt;=Exp22H1,M20,0)+IF(N20&lt;=Exp22H1,O20,0)</f>
        <v>0.46800000000000003</v>
      </c>
      <c r="S20" s="152">
        <f t="shared" ref="S20" si="6">IF(F20&lt;=Exp22Q3,G20,0)+IF(H20&lt;=Exp22Q3,I20,0)+IF(J20&lt;=Exp22Q3,K20,0)+IF(L20&lt;=Exp22Q3,M20,0)+IF(N20&lt;=Exp22Q3,O20,0)</f>
        <v>2.0019999999999998</v>
      </c>
      <c r="T20" s="18">
        <f t="shared" ref="T20" si="7">G20+I20+K20+M20+O20</f>
        <v>2.0019999999999998</v>
      </c>
    </row>
    <row r="21" spans="2:20" x14ac:dyDescent="0.25">
      <c r="B21" s="117" t="s">
        <v>28</v>
      </c>
      <c r="C21" s="136" t="s">
        <v>29</v>
      </c>
      <c r="D21" s="14" t="s">
        <v>15</v>
      </c>
      <c r="E21" s="14" t="s">
        <v>21</v>
      </c>
      <c r="F21" s="15">
        <v>44670</v>
      </c>
      <c r="G21" s="16">
        <v>2.5</v>
      </c>
      <c r="H21" s="15"/>
      <c r="I21" s="16"/>
      <c r="J21" s="15"/>
      <c r="K21" s="16"/>
      <c r="L21" s="15"/>
      <c r="M21" s="63"/>
      <c r="N21" s="17"/>
      <c r="O21" s="16"/>
      <c r="P21" s="16"/>
      <c r="Q21" s="152">
        <f t="shared" si="0"/>
        <v>0</v>
      </c>
      <c r="R21" s="152">
        <f t="shared" si="1"/>
        <v>2.5</v>
      </c>
      <c r="S21" s="152">
        <f t="shared" si="2"/>
        <v>2.5</v>
      </c>
      <c r="T21" s="18">
        <f t="shared" si="3"/>
        <v>2.5</v>
      </c>
    </row>
    <row r="22" spans="2:20" x14ac:dyDescent="0.25">
      <c r="B22" s="117" t="s">
        <v>30</v>
      </c>
      <c r="C22" s="136" t="s">
        <v>31</v>
      </c>
      <c r="D22" s="14" t="s">
        <v>15</v>
      </c>
      <c r="E22" s="14" t="s">
        <v>16</v>
      </c>
      <c r="F22" s="15">
        <v>44694</v>
      </c>
      <c r="G22" s="16">
        <v>3.3</v>
      </c>
      <c r="H22" s="15"/>
      <c r="I22" s="16"/>
      <c r="J22" s="15"/>
      <c r="K22" s="16"/>
      <c r="L22" s="15"/>
      <c r="M22" s="63"/>
      <c r="N22" s="17"/>
      <c r="O22" s="16"/>
      <c r="P22" s="16"/>
      <c r="Q22" s="152">
        <f t="shared" si="0"/>
        <v>0</v>
      </c>
      <c r="R22" s="152">
        <f t="shared" si="1"/>
        <v>3.3</v>
      </c>
      <c r="S22" s="152">
        <f t="shared" si="2"/>
        <v>3.3</v>
      </c>
      <c r="T22" s="18">
        <f t="shared" si="3"/>
        <v>3.3</v>
      </c>
    </row>
    <row r="23" spans="2:20" x14ac:dyDescent="0.25">
      <c r="B23" s="117" t="s">
        <v>32</v>
      </c>
      <c r="C23" s="136" t="s">
        <v>33</v>
      </c>
      <c r="D23" s="14" t="s">
        <v>15</v>
      </c>
      <c r="E23" s="14" t="s">
        <v>16</v>
      </c>
      <c r="F23" s="15">
        <v>44714</v>
      </c>
      <c r="G23" s="16">
        <v>0.09</v>
      </c>
      <c r="H23" s="15">
        <v>44796</v>
      </c>
      <c r="I23" s="16">
        <v>0.11</v>
      </c>
      <c r="J23" s="15"/>
      <c r="K23" s="16"/>
      <c r="L23" s="15"/>
      <c r="M23" s="63"/>
      <c r="N23" s="17"/>
      <c r="O23" s="16"/>
      <c r="P23" s="16"/>
      <c r="Q23" s="152">
        <f t="shared" si="0"/>
        <v>0</v>
      </c>
      <c r="R23" s="152">
        <f t="shared" si="1"/>
        <v>0.09</v>
      </c>
      <c r="S23" s="152">
        <f t="shared" si="2"/>
        <v>0.2</v>
      </c>
      <c r="T23" s="18">
        <f t="shared" si="3"/>
        <v>0.2</v>
      </c>
    </row>
    <row r="24" spans="2:20" x14ac:dyDescent="0.25">
      <c r="B24" s="117" t="s">
        <v>630</v>
      </c>
      <c r="C24" s="136" t="s">
        <v>625</v>
      </c>
      <c r="D24" s="14" t="s">
        <v>15</v>
      </c>
      <c r="E24" s="14" t="s">
        <v>16</v>
      </c>
      <c r="F24" s="15"/>
      <c r="G24" s="16"/>
      <c r="H24" s="15"/>
      <c r="I24" s="16"/>
      <c r="J24" s="15"/>
      <c r="K24" s="16"/>
      <c r="L24" s="15"/>
      <c r="M24" s="63"/>
      <c r="N24" s="17"/>
      <c r="O24" s="16"/>
      <c r="P24" s="16"/>
      <c r="Q24" s="152">
        <f t="shared" si="0"/>
        <v>0</v>
      </c>
      <c r="R24" s="152">
        <f t="shared" si="1"/>
        <v>0</v>
      </c>
      <c r="S24" s="152">
        <f t="shared" si="2"/>
        <v>0</v>
      </c>
      <c r="T24" s="18">
        <f t="shared" si="3"/>
        <v>0</v>
      </c>
    </row>
    <row r="25" spans="2:20" x14ac:dyDescent="0.25">
      <c r="B25" s="117" t="s">
        <v>34</v>
      </c>
      <c r="C25" s="136" t="s">
        <v>35</v>
      </c>
      <c r="D25" s="14" t="s">
        <v>27</v>
      </c>
      <c r="E25" s="14" t="s">
        <v>16</v>
      </c>
      <c r="F25" s="15">
        <v>44713</v>
      </c>
      <c r="G25" s="16">
        <v>2.75</v>
      </c>
      <c r="H25" s="15">
        <v>44860</v>
      </c>
      <c r="I25" s="16">
        <v>1.5</v>
      </c>
      <c r="J25" s="15"/>
      <c r="K25" s="16"/>
      <c r="L25" s="15"/>
      <c r="M25" s="63"/>
      <c r="N25" s="17"/>
      <c r="O25" s="16"/>
      <c r="P25" s="16"/>
      <c r="Q25" s="152">
        <f t="shared" si="0"/>
        <v>0</v>
      </c>
      <c r="R25" s="152">
        <f t="shared" si="1"/>
        <v>2.75</v>
      </c>
      <c r="S25" s="152">
        <f t="shared" si="2"/>
        <v>2.75</v>
      </c>
      <c r="T25" s="18">
        <f t="shared" si="3"/>
        <v>4.25</v>
      </c>
    </row>
    <row r="26" spans="2:20" x14ac:dyDescent="0.25">
      <c r="B26" s="117" t="s">
        <v>36</v>
      </c>
      <c r="C26" s="136" t="s">
        <v>37</v>
      </c>
      <c r="D26" s="14" t="s">
        <v>15</v>
      </c>
      <c r="E26" s="14" t="s">
        <v>16</v>
      </c>
      <c r="F26" s="15">
        <v>44670</v>
      </c>
      <c r="G26" s="16">
        <v>0.52</v>
      </c>
      <c r="H26" s="15">
        <v>44785</v>
      </c>
      <c r="I26" s="16">
        <v>0.46</v>
      </c>
      <c r="J26" s="15"/>
      <c r="K26" s="16"/>
      <c r="L26" s="15"/>
      <c r="M26" s="63"/>
      <c r="N26" s="17"/>
      <c r="O26" s="16"/>
      <c r="P26" s="16"/>
      <c r="Q26" s="152">
        <f t="shared" si="0"/>
        <v>0</v>
      </c>
      <c r="R26" s="152">
        <f t="shared" si="1"/>
        <v>0.52</v>
      </c>
      <c r="S26" s="152">
        <f t="shared" si="2"/>
        <v>0.98</v>
      </c>
      <c r="T26" s="18">
        <f t="shared" si="3"/>
        <v>0.98</v>
      </c>
    </row>
    <row r="27" spans="2:20" x14ac:dyDescent="0.25">
      <c r="B27" s="117" t="s">
        <v>41</v>
      </c>
      <c r="C27" s="136" t="s">
        <v>42</v>
      </c>
      <c r="D27" s="14" t="s">
        <v>24</v>
      </c>
      <c r="E27" s="14" t="s">
        <v>16</v>
      </c>
      <c r="F27" s="153">
        <v>44697</v>
      </c>
      <c r="G27" s="154">
        <f>2.9*0.90909091</f>
        <v>2.6363636389999998</v>
      </c>
      <c r="H27" s="15"/>
      <c r="I27" s="16"/>
      <c r="J27" s="15"/>
      <c r="K27" s="16"/>
      <c r="L27" s="15"/>
      <c r="M27" s="63"/>
      <c r="N27" s="17"/>
      <c r="O27" s="16"/>
      <c r="P27" s="16"/>
      <c r="Q27" s="152">
        <f t="shared" si="0"/>
        <v>0</v>
      </c>
      <c r="R27" s="152">
        <f t="shared" si="1"/>
        <v>2.6363636389999998</v>
      </c>
      <c r="S27" s="152">
        <f t="shared" si="2"/>
        <v>2.6363636389999998</v>
      </c>
      <c r="T27" s="18">
        <f t="shared" si="3"/>
        <v>2.6363636389999998</v>
      </c>
    </row>
    <row r="28" spans="2:20" x14ac:dyDescent="0.25">
      <c r="B28" s="117" t="s">
        <v>43</v>
      </c>
      <c r="C28" s="136" t="s">
        <v>44</v>
      </c>
      <c r="D28" s="14" t="s">
        <v>24</v>
      </c>
      <c r="E28" s="14" t="s">
        <v>16</v>
      </c>
      <c r="F28" s="15">
        <v>44670</v>
      </c>
      <c r="G28" s="16">
        <v>1.5</v>
      </c>
      <c r="H28" s="15"/>
      <c r="I28" s="16"/>
      <c r="J28" s="15"/>
      <c r="K28" s="16"/>
      <c r="L28" s="15"/>
      <c r="M28" s="63"/>
      <c r="N28" s="17"/>
      <c r="O28" s="16"/>
      <c r="P28" s="16"/>
      <c r="Q28" s="152">
        <f t="shared" si="0"/>
        <v>0</v>
      </c>
      <c r="R28" s="152">
        <f t="shared" si="1"/>
        <v>1.5</v>
      </c>
      <c r="S28" s="152">
        <f t="shared" si="2"/>
        <v>1.5</v>
      </c>
      <c r="T28" s="18">
        <f t="shared" si="3"/>
        <v>1.5</v>
      </c>
    </row>
    <row r="29" spans="2:20" x14ac:dyDescent="0.25">
      <c r="B29" s="117" t="s">
        <v>45</v>
      </c>
      <c r="C29" s="136" t="s">
        <v>46</v>
      </c>
      <c r="D29" s="14" t="s">
        <v>15</v>
      </c>
      <c r="E29" s="14" t="s">
        <v>16</v>
      </c>
      <c r="F29" s="15">
        <v>44677</v>
      </c>
      <c r="G29" s="16">
        <v>1.54</v>
      </c>
      <c r="H29" s="15">
        <v>44858</v>
      </c>
      <c r="I29" s="16">
        <v>0.44</v>
      </c>
      <c r="J29" s="15"/>
      <c r="K29" s="16"/>
      <c r="L29" s="15"/>
      <c r="M29" s="63"/>
      <c r="N29" s="17"/>
      <c r="O29" s="16"/>
      <c r="P29" s="16"/>
      <c r="Q29" s="152">
        <f t="shared" si="0"/>
        <v>0</v>
      </c>
      <c r="R29" s="152">
        <f t="shared" si="1"/>
        <v>1.54</v>
      </c>
      <c r="S29" s="152">
        <f t="shared" si="2"/>
        <v>1.54</v>
      </c>
      <c r="T29" s="18">
        <f t="shared" si="3"/>
        <v>1.98</v>
      </c>
    </row>
    <row r="30" spans="2:20" x14ac:dyDescent="0.25">
      <c r="B30" s="117" t="s">
        <v>828</v>
      </c>
      <c r="C30" s="136" t="s">
        <v>829</v>
      </c>
      <c r="D30" s="14" t="s">
        <v>15</v>
      </c>
      <c r="E30" s="14" t="s">
        <v>200</v>
      </c>
      <c r="F30" s="15">
        <v>44678</v>
      </c>
      <c r="G30" s="16">
        <v>6</v>
      </c>
      <c r="H30" s="15"/>
      <c r="I30" s="16"/>
      <c r="J30" s="15"/>
      <c r="K30" s="16"/>
      <c r="L30" s="15"/>
      <c r="M30" s="16"/>
      <c r="N30" s="17"/>
      <c r="O30" s="16"/>
      <c r="P30" s="16"/>
      <c r="Q30" s="152">
        <f t="shared" ref="Q30" si="8">IF(F30&lt;=Exp22Q1,G30,0)+IF(H30&lt;=Exp22Q1,I30,0)+IF(J30&lt;=Exp22Q1,K30,0)+IF(L30&lt;=Exp22Q1,M30,0)+IF(N30&lt;=Exp22Q1,O30,0)</f>
        <v>0</v>
      </c>
      <c r="R30" s="152">
        <f t="shared" ref="R30" si="9">IF(F30&lt;=Exp22H1,G30,0)+IF(H30&lt;=Exp22H1,I30,0)+IF(J30&lt;=Exp22H1,K30,0)+IF(L30&lt;=Exp22H1,M30,0)+IF(N30&lt;=Exp22H1,O30,0)</f>
        <v>6</v>
      </c>
      <c r="S30" s="152">
        <f t="shared" ref="S30" si="10">IF(F30&lt;=Exp22Q3,G30,0)+IF(H30&lt;=Exp22Q3,I30,0)+IF(J30&lt;=Exp22Q3,K30,0)+IF(L30&lt;=Exp22Q3,M30,0)+IF(N30&lt;=Exp22Q3,O30,0)</f>
        <v>6</v>
      </c>
      <c r="T30" s="18">
        <f t="shared" ref="T30" si="11">G30+I30+K30+M30+O30</f>
        <v>6</v>
      </c>
    </row>
    <row r="31" spans="2:20" x14ac:dyDescent="0.25">
      <c r="B31" s="117" t="s">
        <v>47</v>
      </c>
      <c r="C31" s="136" t="s">
        <v>48</v>
      </c>
      <c r="D31" s="14" t="s">
        <v>15</v>
      </c>
      <c r="E31" s="14" t="s">
        <v>16</v>
      </c>
      <c r="F31" s="15">
        <v>44686</v>
      </c>
      <c r="G31" s="16">
        <v>10.8</v>
      </c>
      <c r="H31" s="15"/>
      <c r="I31" s="16"/>
      <c r="J31" s="15"/>
      <c r="K31" s="16"/>
      <c r="L31" s="15"/>
      <c r="M31" s="16"/>
      <c r="N31" s="17"/>
      <c r="O31" s="16"/>
      <c r="P31" s="16"/>
      <c r="Q31" s="152">
        <f t="shared" si="0"/>
        <v>0</v>
      </c>
      <c r="R31" s="152">
        <f t="shared" si="1"/>
        <v>10.8</v>
      </c>
      <c r="S31" s="152">
        <f t="shared" si="2"/>
        <v>10.8</v>
      </c>
      <c r="T31" s="18">
        <f t="shared" si="3"/>
        <v>10.8</v>
      </c>
    </row>
    <row r="32" spans="2:20" x14ac:dyDescent="0.25">
      <c r="B32" s="117" t="s">
        <v>49</v>
      </c>
      <c r="C32" s="136" t="s">
        <v>50</v>
      </c>
      <c r="D32" s="14" t="s">
        <v>24</v>
      </c>
      <c r="E32" s="14" t="s">
        <v>16</v>
      </c>
      <c r="F32" s="15">
        <v>44762</v>
      </c>
      <c r="G32" s="16">
        <v>0.25</v>
      </c>
      <c r="H32" s="15"/>
      <c r="I32" s="16"/>
      <c r="J32" s="15"/>
      <c r="K32" s="16"/>
      <c r="L32" s="15"/>
      <c r="M32" s="16"/>
      <c r="N32" s="17"/>
      <c r="O32" s="16"/>
      <c r="P32" s="16"/>
      <c r="Q32" s="152">
        <f t="shared" si="0"/>
        <v>0</v>
      </c>
      <c r="R32" s="152">
        <f t="shared" si="1"/>
        <v>0</v>
      </c>
      <c r="S32" s="152">
        <f t="shared" si="2"/>
        <v>0.25</v>
      </c>
      <c r="T32" s="18">
        <f t="shared" si="3"/>
        <v>0.25</v>
      </c>
    </row>
    <row r="33" spans="1:21" x14ac:dyDescent="0.25">
      <c r="B33" s="117" t="s">
        <v>51</v>
      </c>
      <c r="C33" s="136" t="s">
        <v>52</v>
      </c>
      <c r="D33" s="14" t="s">
        <v>15</v>
      </c>
      <c r="E33" s="14" t="s">
        <v>16</v>
      </c>
      <c r="F33" s="15"/>
      <c r="G33" s="16"/>
      <c r="H33" s="15"/>
      <c r="I33" s="16"/>
      <c r="J33" s="15"/>
      <c r="K33" s="16"/>
      <c r="L33" s="15"/>
      <c r="M33" s="16"/>
      <c r="N33" s="17"/>
      <c r="O33" s="16"/>
      <c r="P33" s="16"/>
      <c r="Q33" s="152">
        <f t="shared" si="0"/>
        <v>0</v>
      </c>
      <c r="R33" s="152">
        <f t="shared" si="1"/>
        <v>0</v>
      </c>
      <c r="S33" s="152">
        <f t="shared" si="2"/>
        <v>0</v>
      </c>
      <c r="T33" s="18">
        <f t="shared" si="3"/>
        <v>0</v>
      </c>
    </row>
    <row r="34" spans="1:21" x14ac:dyDescent="0.25">
      <c r="B34" s="117" t="s">
        <v>896</v>
      </c>
      <c r="C34" s="136" t="s">
        <v>897</v>
      </c>
      <c r="D34" s="14" t="s">
        <v>15</v>
      </c>
      <c r="E34" s="14" t="s">
        <v>16</v>
      </c>
      <c r="F34" s="15">
        <v>44690</v>
      </c>
      <c r="G34" s="16">
        <v>0.3</v>
      </c>
      <c r="H34" s="15">
        <v>44774</v>
      </c>
      <c r="I34" s="16">
        <v>0.3</v>
      </c>
      <c r="J34" s="15"/>
      <c r="K34" s="16"/>
      <c r="L34" s="15"/>
      <c r="M34" s="129"/>
      <c r="N34" s="17"/>
      <c r="O34" s="16"/>
      <c r="P34" s="16"/>
      <c r="Q34" s="152">
        <f t="shared" ref="Q34" si="12">IF(F34&lt;=Exp22Q1,G34,0)+IF(H34&lt;=Exp22Q1,I34,0)+IF(J34&lt;=Exp22Q1,K34,0)+IF(L34&lt;=Exp22Q1,M34,0)+IF(N34&lt;=Exp22Q1,O34,0)</f>
        <v>0</v>
      </c>
      <c r="R34" s="152">
        <f t="shared" ref="R34" si="13">IF(F34&lt;=Exp22H1,G34,0)+IF(H34&lt;=Exp22H1,I34,0)+IF(J34&lt;=Exp22H1,K34,0)+IF(L34&lt;=Exp22H1,M34,0)+IF(N34&lt;=Exp22H1,O34,0)</f>
        <v>0.3</v>
      </c>
      <c r="S34" s="152">
        <f t="shared" ref="S34" si="14">IF(F34&lt;=Exp22Q3,G34,0)+IF(H34&lt;=Exp22Q3,I34,0)+IF(J34&lt;=Exp22Q3,K34,0)+IF(L34&lt;=Exp22Q3,M34,0)+IF(N34&lt;=Exp22Q3,O34,0)</f>
        <v>0.6</v>
      </c>
      <c r="T34" s="18">
        <f t="shared" ref="T34" si="15">G34+I34+K34+M34+O34</f>
        <v>0.6</v>
      </c>
    </row>
    <row r="35" spans="1:21" x14ac:dyDescent="0.25">
      <c r="B35" s="117" t="s">
        <v>886</v>
      </c>
      <c r="C35" s="136" t="s">
        <v>887</v>
      </c>
      <c r="D35" s="14" t="s">
        <v>15</v>
      </c>
      <c r="E35" s="14" t="s">
        <v>16</v>
      </c>
      <c r="F35" s="15">
        <v>44662</v>
      </c>
      <c r="G35" s="16">
        <v>1.65</v>
      </c>
      <c r="H35" s="15"/>
      <c r="I35" s="16"/>
      <c r="J35" s="15"/>
      <c r="K35" s="16"/>
      <c r="L35" s="15"/>
      <c r="M35" s="129"/>
      <c r="N35" s="17"/>
      <c r="O35" s="16"/>
      <c r="P35" s="16"/>
      <c r="Q35" s="152">
        <f t="shared" ref="Q35" si="16">IF(F35&lt;=Exp22Q1,G35,0)+IF(H35&lt;=Exp22Q1,I35,0)+IF(J35&lt;=Exp22Q1,K35,0)+IF(L35&lt;=Exp22Q1,M35,0)+IF(N35&lt;=Exp22Q1,O35,0)</f>
        <v>0</v>
      </c>
      <c r="R35" s="152">
        <f t="shared" ref="R35" si="17">IF(F35&lt;=Exp22H1,G35,0)+IF(H35&lt;=Exp22H1,I35,0)+IF(J35&lt;=Exp22H1,K35,0)+IF(L35&lt;=Exp22H1,M35,0)+IF(N35&lt;=Exp22H1,O35,0)</f>
        <v>1.65</v>
      </c>
      <c r="S35" s="152">
        <f t="shared" ref="S35" si="18">IF(F35&lt;=Exp22Q3,G35,0)+IF(H35&lt;=Exp22Q3,I35,0)+IF(J35&lt;=Exp22Q3,K35,0)+IF(L35&lt;=Exp22Q3,M35,0)+IF(N35&lt;=Exp22Q3,O35,0)</f>
        <v>1.65</v>
      </c>
      <c r="T35" s="18">
        <f t="shared" ref="T35" si="19">G35+I35+K35+M35+O35</f>
        <v>1.65</v>
      </c>
    </row>
    <row r="36" spans="1:21" x14ac:dyDescent="0.25">
      <c r="B36" s="117" t="s">
        <v>57</v>
      </c>
      <c r="C36" s="136" t="s">
        <v>58</v>
      </c>
      <c r="D36" s="14" t="s">
        <v>15</v>
      </c>
      <c r="E36" s="14" t="s">
        <v>56</v>
      </c>
      <c r="F36" s="153">
        <v>44637</v>
      </c>
      <c r="G36" s="154">
        <f>1.18*0.99986502</f>
        <v>1.1798407235999999</v>
      </c>
      <c r="H36" s="15">
        <v>44791</v>
      </c>
      <c r="I36" s="16">
        <v>1.24</v>
      </c>
      <c r="J36" s="15"/>
      <c r="K36" s="16"/>
      <c r="L36" s="15"/>
      <c r="M36" s="63"/>
      <c r="N36" s="17"/>
      <c r="O36" s="16"/>
      <c r="P36" s="16"/>
      <c r="Q36" s="152">
        <f t="shared" si="0"/>
        <v>1.1798407235999999</v>
      </c>
      <c r="R36" s="152">
        <f t="shared" si="1"/>
        <v>1.1798407235999999</v>
      </c>
      <c r="S36" s="152">
        <f t="shared" si="2"/>
        <v>2.4198407236000001</v>
      </c>
      <c r="T36" s="18">
        <f t="shared" si="3"/>
        <v>2.4198407236000001</v>
      </c>
    </row>
    <row r="37" spans="1:21" x14ac:dyDescent="0.25">
      <c r="B37" s="117" t="s">
        <v>59</v>
      </c>
      <c r="C37" s="136" t="s">
        <v>60</v>
      </c>
      <c r="D37" s="14" t="s">
        <v>27</v>
      </c>
      <c r="E37" s="14" t="s">
        <v>16</v>
      </c>
      <c r="F37" s="15">
        <v>44684</v>
      </c>
      <c r="G37" s="16">
        <v>0.5</v>
      </c>
      <c r="H37" s="15"/>
      <c r="I37" s="16"/>
      <c r="J37" s="15"/>
      <c r="K37" s="16"/>
      <c r="L37" s="15"/>
      <c r="M37" s="63"/>
      <c r="N37" s="17"/>
      <c r="O37" s="16"/>
      <c r="P37" s="16"/>
      <c r="Q37" s="152">
        <f t="shared" si="0"/>
        <v>0</v>
      </c>
      <c r="R37" s="152">
        <f t="shared" si="1"/>
        <v>0.5</v>
      </c>
      <c r="S37" s="152">
        <f t="shared" si="2"/>
        <v>0.5</v>
      </c>
      <c r="T37" s="18">
        <f t="shared" si="3"/>
        <v>0.5</v>
      </c>
    </row>
    <row r="38" spans="1:21" x14ac:dyDescent="0.25">
      <c r="B38" s="117" t="s">
        <v>63</v>
      </c>
      <c r="C38" s="136" t="s">
        <v>64</v>
      </c>
      <c r="D38" s="14" t="s">
        <v>15</v>
      </c>
      <c r="E38" s="14" t="s">
        <v>16</v>
      </c>
      <c r="F38" s="15">
        <v>44694</v>
      </c>
      <c r="G38" s="16">
        <v>0.36009999999999998</v>
      </c>
      <c r="H38" s="15"/>
      <c r="I38" s="16"/>
      <c r="J38" s="15"/>
      <c r="K38" s="16"/>
      <c r="L38" s="15"/>
      <c r="M38" s="63"/>
      <c r="N38" s="17"/>
      <c r="O38" s="16"/>
      <c r="P38" s="16"/>
      <c r="Q38" s="152">
        <f t="shared" si="0"/>
        <v>0</v>
      </c>
      <c r="R38" s="152">
        <f t="shared" si="1"/>
        <v>0.36009999999999998</v>
      </c>
      <c r="S38" s="152">
        <f t="shared" si="2"/>
        <v>0.36009999999999998</v>
      </c>
      <c r="T38" s="18">
        <f t="shared" si="3"/>
        <v>0.36009999999999998</v>
      </c>
    </row>
    <row r="39" spans="1:21" x14ac:dyDescent="0.25">
      <c r="B39" s="117" t="s">
        <v>65</v>
      </c>
      <c r="C39" s="136" t="s">
        <v>66</v>
      </c>
      <c r="D39" s="14" t="s">
        <v>15</v>
      </c>
      <c r="E39" s="14" t="s">
        <v>16</v>
      </c>
      <c r="F39" s="15">
        <v>44684</v>
      </c>
      <c r="G39" s="16">
        <v>3.7</v>
      </c>
      <c r="H39" s="15">
        <v>44777</v>
      </c>
      <c r="I39" s="16">
        <v>1.37</v>
      </c>
      <c r="J39" s="15">
        <v>44868</v>
      </c>
      <c r="K39" s="16">
        <v>1.37</v>
      </c>
      <c r="L39" s="15"/>
      <c r="M39" s="63"/>
      <c r="N39" s="17"/>
      <c r="O39" s="16"/>
      <c r="P39" s="16"/>
      <c r="Q39" s="152">
        <f t="shared" si="0"/>
        <v>0</v>
      </c>
      <c r="R39" s="152">
        <f t="shared" si="1"/>
        <v>3.7</v>
      </c>
      <c r="S39" s="152">
        <f t="shared" si="2"/>
        <v>5.07</v>
      </c>
      <c r="T39" s="18">
        <f t="shared" si="3"/>
        <v>6.44</v>
      </c>
    </row>
    <row r="40" spans="1:21" x14ac:dyDescent="0.25">
      <c r="B40" s="117" t="s">
        <v>67</v>
      </c>
      <c r="C40" s="136" t="s">
        <v>68</v>
      </c>
      <c r="D40" s="14" t="s">
        <v>15</v>
      </c>
      <c r="E40" s="14" t="s">
        <v>16</v>
      </c>
      <c r="F40" s="15">
        <v>44704</v>
      </c>
      <c r="G40" s="16">
        <v>1.07</v>
      </c>
      <c r="H40" s="15"/>
      <c r="I40" s="16"/>
      <c r="J40" s="15"/>
      <c r="K40" s="16"/>
      <c r="L40" s="15"/>
      <c r="M40" s="63"/>
      <c r="N40" s="17"/>
      <c r="O40" s="16"/>
      <c r="P40" s="16"/>
      <c r="Q40" s="152">
        <f t="shared" si="0"/>
        <v>0</v>
      </c>
      <c r="R40" s="152">
        <f t="shared" si="1"/>
        <v>1.07</v>
      </c>
      <c r="S40" s="152">
        <f t="shared" si="2"/>
        <v>1.07</v>
      </c>
      <c r="T40" s="18">
        <f t="shared" si="3"/>
        <v>1.07</v>
      </c>
    </row>
    <row r="41" spans="1:21" x14ac:dyDescent="0.25">
      <c r="A41" s="33"/>
      <c r="B41" s="117" t="s">
        <v>782</v>
      </c>
      <c r="C41" s="136" t="s">
        <v>783</v>
      </c>
      <c r="D41" s="14" t="s">
        <v>15</v>
      </c>
      <c r="E41" s="14" t="s">
        <v>16</v>
      </c>
      <c r="F41" s="15">
        <v>44708</v>
      </c>
      <c r="G41" s="16">
        <v>1.6</v>
      </c>
      <c r="H41" s="15">
        <v>44804</v>
      </c>
      <c r="I41" s="16">
        <v>0.98</v>
      </c>
      <c r="J41" s="15"/>
      <c r="K41" s="16"/>
      <c r="L41" s="15"/>
      <c r="M41" s="63"/>
      <c r="N41" s="17"/>
      <c r="O41" s="16"/>
      <c r="P41" s="16"/>
      <c r="Q41" s="152">
        <f t="shared" si="0"/>
        <v>0</v>
      </c>
      <c r="R41" s="152">
        <f t="shared" si="1"/>
        <v>1.6</v>
      </c>
      <c r="S41" s="152">
        <f t="shared" si="2"/>
        <v>2.58</v>
      </c>
      <c r="T41" s="18">
        <f t="shared" si="3"/>
        <v>2.58</v>
      </c>
      <c r="U41" s="36"/>
    </row>
    <row r="42" spans="1:21" x14ac:dyDescent="0.25">
      <c r="B42" s="117" t="s">
        <v>830</v>
      </c>
      <c r="C42" s="136" t="s">
        <v>831</v>
      </c>
      <c r="D42" s="14" t="s">
        <v>15</v>
      </c>
      <c r="E42" s="14" t="s">
        <v>200</v>
      </c>
      <c r="F42" s="15">
        <v>44679</v>
      </c>
      <c r="G42" s="16">
        <v>2.1</v>
      </c>
      <c r="H42" s="15">
        <v>44886</v>
      </c>
      <c r="I42" s="16">
        <v>2.1</v>
      </c>
      <c r="J42" s="15"/>
      <c r="K42" s="16"/>
      <c r="L42" s="15"/>
      <c r="M42" s="63"/>
      <c r="N42" s="17"/>
      <c r="O42" s="16"/>
      <c r="P42" s="16"/>
      <c r="Q42" s="152">
        <f t="shared" ref="Q42" si="20">IF(F42&lt;=Exp22Q1,G42,0)+IF(H42&lt;=Exp22Q1,I42,0)+IF(J42&lt;=Exp22Q1,K42,0)+IF(L42&lt;=Exp22Q1,M42,0)+IF(N42&lt;=Exp22Q1,O42,0)</f>
        <v>0</v>
      </c>
      <c r="R42" s="152">
        <f t="shared" ref="R42" si="21">IF(F42&lt;=Exp22H1,G42,0)+IF(H42&lt;=Exp22H1,I42,0)+IF(J42&lt;=Exp22H1,K42,0)+IF(L42&lt;=Exp22H1,M42,0)+IF(N42&lt;=Exp22H1,O42,0)</f>
        <v>2.1</v>
      </c>
      <c r="S42" s="152">
        <f t="shared" ref="S42" si="22">IF(F42&lt;=Exp22Q3,G42,0)+IF(H42&lt;=Exp22Q3,I42,0)+IF(J42&lt;=Exp22Q3,K42,0)+IF(L42&lt;=Exp22Q3,M42,0)+IF(N42&lt;=Exp22Q3,O42,0)</f>
        <v>2.1</v>
      </c>
      <c r="T42" s="18">
        <f t="shared" ref="T42" si="23">G42+I42+K42+M42+O42</f>
        <v>4.2</v>
      </c>
    </row>
    <row r="43" spans="1:21" x14ac:dyDescent="0.25">
      <c r="B43" s="117" t="s">
        <v>69</v>
      </c>
      <c r="C43" s="136" t="s">
        <v>70</v>
      </c>
      <c r="D43" s="14" t="s">
        <v>15</v>
      </c>
      <c r="E43" s="14" t="s">
        <v>56</v>
      </c>
      <c r="F43" s="15">
        <v>44616</v>
      </c>
      <c r="G43" s="16">
        <v>1.97</v>
      </c>
      <c r="H43" s="15">
        <v>44784</v>
      </c>
      <c r="I43" s="16">
        <v>0.93</v>
      </c>
      <c r="J43" s="15"/>
      <c r="K43" s="16"/>
      <c r="L43" s="15"/>
      <c r="M43" s="63"/>
      <c r="N43" s="17"/>
      <c r="O43" s="16"/>
      <c r="P43" s="16"/>
      <c r="Q43" s="152">
        <f t="shared" si="0"/>
        <v>1.97</v>
      </c>
      <c r="R43" s="152">
        <f t="shared" si="1"/>
        <v>1.97</v>
      </c>
      <c r="S43" s="152">
        <f t="shared" si="2"/>
        <v>2.9</v>
      </c>
      <c r="T43" s="18">
        <f t="shared" si="3"/>
        <v>2.9</v>
      </c>
    </row>
    <row r="44" spans="1:21" x14ac:dyDescent="0.25">
      <c r="A44" s="33"/>
      <c r="B44" s="117" t="s">
        <v>826</v>
      </c>
      <c r="C44" s="136" t="s">
        <v>827</v>
      </c>
      <c r="D44" s="14" t="s">
        <v>15</v>
      </c>
      <c r="E44" s="14" t="s">
        <v>200</v>
      </c>
      <c r="F44" s="153">
        <v>44678</v>
      </c>
      <c r="G44" s="154">
        <f>3.8*0.24538639</f>
        <v>0.93246828199999998</v>
      </c>
      <c r="H44" s="15">
        <v>44854</v>
      </c>
      <c r="I44" s="16">
        <v>0.95</v>
      </c>
      <c r="J44" s="15"/>
      <c r="K44" s="16"/>
      <c r="L44" s="15"/>
      <c r="M44" s="63"/>
      <c r="N44" s="17"/>
      <c r="O44" s="16"/>
      <c r="P44" s="16"/>
      <c r="Q44" s="152">
        <f t="shared" ref="Q44" si="24">IF(F44&lt;=Exp22Q1,G44,0)+IF(H44&lt;=Exp22Q1,I44,0)+IF(J44&lt;=Exp22Q1,K44,0)+IF(L44&lt;=Exp22Q1,M44,0)+IF(N44&lt;=Exp22Q1,O44,0)</f>
        <v>0</v>
      </c>
      <c r="R44" s="152">
        <f t="shared" ref="R44" si="25">IF(F44&lt;=Exp22H1,G44,0)+IF(H44&lt;=Exp22H1,I44,0)+IF(J44&lt;=Exp22H1,K44,0)+IF(L44&lt;=Exp22H1,M44,0)+IF(N44&lt;=Exp22H1,O44,0)</f>
        <v>0.93246828199999998</v>
      </c>
      <c r="S44" s="152">
        <f t="shared" ref="S44" si="26">IF(F44&lt;=Exp22Q3,G44,0)+IF(H44&lt;=Exp22Q3,I44,0)+IF(J44&lt;=Exp22Q3,K44,0)+IF(L44&lt;=Exp22Q3,M44,0)+IF(N44&lt;=Exp22Q3,O44,0)</f>
        <v>0.93246828199999998</v>
      </c>
      <c r="T44" s="18">
        <f t="shared" ref="T44" si="27">G44+I44+K44+M44+O44</f>
        <v>1.882468282</v>
      </c>
      <c r="U44" s="36"/>
    </row>
    <row r="45" spans="1:21" x14ac:dyDescent="0.25">
      <c r="A45" s="33"/>
      <c r="B45" s="117" t="s">
        <v>694</v>
      </c>
      <c r="C45" s="136" t="s">
        <v>695</v>
      </c>
      <c r="D45" s="14" t="s">
        <v>24</v>
      </c>
      <c r="E45" s="14" t="s">
        <v>16</v>
      </c>
      <c r="F45" s="15"/>
      <c r="G45" s="16"/>
      <c r="H45" s="15"/>
      <c r="I45" s="16"/>
      <c r="J45" s="15"/>
      <c r="K45" s="16"/>
      <c r="L45" s="15"/>
      <c r="M45" s="63"/>
      <c r="N45" s="17"/>
      <c r="O45" s="16"/>
      <c r="P45" s="16"/>
      <c r="Q45" s="152">
        <f t="shared" si="0"/>
        <v>0</v>
      </c>
      <c r="R45" s="152">
        <f t="shared" si="1"/>
        <v>0</v>
      </c>
      <c r="S45" s="152">
        <f t="shared" si="2"/>
        <v>0</v>
      </c>
      <c r="T45" s="18">
        <f t="shared" si="3"/>
        <v>0</v>
      </c>
      <c r="U45" s="36"/>
    </row>
    <row r="46" spans="1:21" x14ac:dyDescent="0.25">
      <c r="A46" s="33"/>
      <c r="B46" s="117" t="s">
        <v>898</v>
      </c>
      <c r="C46" s="136" t="s">
        <v>899</v>
      </c>
      <c r="D46" s="14" t="s">
        <v>15</v>
      </c>
      <c r="E46" s="14" t="s">
        <v>16</v>
      </c>
      <c r="F46" s="15">
        <v>44610</v>
      </c>
      <c r="G46" s="16">
        <v>1.6</v>
      </c>
      <c r="H46" s="15"/>
      <c r="I46" s="16"/>
      <c r="J46" s="15"/>
      <c r="K46" s="16"/>
      <c r="L46" s="15"/>
      <c r="M46" s="63"/>
      <c r="N46" s="17"/>
      <c r="O46" s="16"/>
      <c r="P46" s="16"/>
      <c r="Q46" s="152">
        <f t="shared" ref="Q46" si="28">IF(F46&lt;=Exp22Q1,G46,0)+IF(H46&lt;=Exp22Q1,I46,0)+IF(J46&lt;=Exp22Q1,K46,0)+IF(L46&lt;=Exp22Q1,M46,0)+IF(N46&lt;=Exp22Q1,O46,0)</f>
        <v>1.6</v>
      </c>
      <c r="R46" s="152">
        <f t="shared" ref="R46" si="29">IF(F46&lt;=Exp22H1,G46,0)+IF(H46&lt;=Exp22H1,I46,0)+IF(J46&lt;=Exp22H1,K46,0)+IF(L46&lt;=Exp22H1,M46,0)+IF(N46&lt;=Exp22H1,O46,0)</f>
        <v>1.6</v>
      </c>
      <c r="S46" s="152">
        <f t="shared" ref="S46" si="30">IF(F46&lt;=Exp22Q3,G46,0)+IF(H46&lt;=Exp22Q3,I46,0)+IF(J46&lt;=Exp22Q3,K46,0)+IF(L46&lt;=Exp22Q3,M46,0)+IF(N46&lt;=Exp22Q3,O46,0)</f>
        <v>1.6</v>
      </c>
      <c r="T46" s="18">
        <f t="shared" ref="T46" si="31">G46+I46+K46+M46+O46</f>
        <v>1.6</v>
      </c>
      <c r="U46" s="36"/>
    </row>
    <row r="47" spans="1:21" x14ac:dyDescent="0.25">
      <c r="A47" s="33"/>
      <c r="B47" s="117" t="s">
        <v>844</v>
      </c>
      <c r="C47" s="136" t="s">
        <v>845</v>
      </c>
      <c r="D47" s="14" t="s">
        <v>15</v>
      </c>
      <c r="E47" s="14" t="s">
        <v>56</v>
      </c>
      <c r="F47" s="15">
        <v>44627</v>
      </c>
      <c r="G47" s="16">
        <v>0.64</v>
      </c>
      <c r="H47" s="15">
        <v>44704</v>
      </c>
      <c r="I47" s="16">
        <v>0.64</v>
      </c>
      <c r="J47" s="15">
        <v>44810</v>
      </c>
      <c r="K47" s="16">
        <v>0.64</v>
      </c>
      <c r="L47" s="15">
        <v>44886</v>
      </c>
      <c r="M47" s="63">
        <v>0.66</v>
      </c>
      <c r="N47" s="17"/>
      <c r="O47" s="16"/>
      <c r="P47" s="16"/>
      <c r="Q47" s="152">
        <f t="shared" si="0"/>
        <v>0.64</v>
      </c>
      <c r="R47" s="152">
        <f t="shared" si="1"/>
        <v>1.28</v>
      </c>
      <c r="S47" s="152">
        <f t="shared" si="2"/>
        <v>1.92</v>
      </c>
      <c r="T47" s="18">
        <f t="shared" si="3"/>
        <v>2.58</v>
      </c>
      <c r="U47" s="36"/>
    </row>
    <row r="48" spans="1:21" x14ac:dyDescent="0.25">
      <c r="A48" s="33"/>
      <c r="B48" s="117" t="s">
        <v>75</v>
      </c>
      <c r="C48" s="136" t="s">
        <v>76</v>
      </c>
      <c r="D48" s="14" t="s">
        <v>15</v>
      </c>
      <c r="E48" s="14" t="s">
        <v>761</v>
      </c>
      <c r="F48" s="153">
        <v>44658</v>
      </c>
      <c r="G48" s="154">
        <f>14.7*0.98800253</f>
        <v>14.523637191000001</v>
      </c>
      <c r="H48" s="15">
        <v>44791</v>
      </c>
      <c r="I48" s="16">
        <v>10.3</v>
      </c>
      <c r="J48" s="15"/>
      <c r="K48" s="16"/>
      <c r="L48" s="15"/>
      <c r="M48" s="63"/>
      <c r="N48" s="17"/>
      <c r="O48" s="16"/>
      <c r="P48" s="16"/>
      <c r="Q48" s="152">
        <f t="shared" si="0"/>
        <v>0</v>
      </c>
      <c r="R48" s="152">
        <f t="shared" si="1"/>
        <v>14.523637191000001</v>
      </c>
      <c r="S48" s="152">
        <f t="shared" si="2"/>
        <v>24.823637191000003</v>
      </c>
      <c r="T48" s="18">
        <f t="shared" si="3"/>
        <v>24.823637191000003</v>
      </c>
      <c r="U48" s="36"/>
    </row>
    <row r="49" spans="1:21" x14ac:dyDescent="0.25">
      <c r="A49" s="33"/>
      <c r="B49" s="117" t="s">
        <v>78</v>
      </c>
      <c r="C49" s="136" t="s">
        <v>79</v>
      </c>
      <c r="D49" s="14" t="s">
        <v>24</v>
      </c>
      <c r="E49" s="14" t="s">
        <v>16</v>
      </c>
      <c r="F49" s="15">
        <v>44687</v>
      </c>
      <c r="G49" s="16">
        <v>1.54</v>
      </c>
      <c r="H49" s="15"/>
      <c r="I49" s="16"/>
      <c r="J49" s="15"/>
      <c r="K49" s="16"/>
      <c r="L49" s="15"/>
      <c r="M49" s="63"/>
      <c r="N49" s="17"/>
      <c r="O49" s="16"/>
      <c r="P49" s="16"/>
      <c r="Q49" s="152">
        <f t="shared" si="0"/>
        <v>0</v>
      </c>
      <c r="R49" s="152">
        <f t="shared" si="1"/>
        <v>1.54</v>
      </c>
      <c r="S49" s="152">
        <f t="shared" si="2"/>
        <v>1.54</v>
      </c>
      <c r="T49" s="18">
        <f t="shared" si="3"/>
        <v>1.54</v>
      </c>
      <c r="U49" s="36"/>
    </row>
    <row r="50" spans="1:21" x14ac:dyDescent="0.25">
      <c r="A50" s="33"/>
      <c r="B50" s="117" t="s">
        <v>80</v>
      </c>
      <c r="C50" s="136" t="s">
        <v>81</v>
      </c>
      <c r="D50" s="14" t="s">
        <v>15</v>
      </c>
      <c r="E50" s="14" t="s">
        <v>16</v>
      </c>
      <c r="F50" s="15">
        <v>44704</v>
      </c>
      <c r="G50" s="16">
        <v>1.3</v>
      </c>
      <c r="H50" s="15"/>
      <c r="I50" s="16"/>
      <c r="J50" s="15"/>
      <c r="K50" s="16"/>
      <c r="L50" s="15"/>
      <c r="M50" s="63"/>
      <c r="N50" s="17"/>
      <c r="O50" s="16"/>
      <c r="P50" s="16"/>
      <c r="Q50" s="152">
        <f t="shared" si="0"/>
        <v>0</v>
      </c>
      <c r="R50" s="152">
        <f t="shared" si="1"/>
        <v>1.3</v>
      </c>
      <c r="S50" s="152">
        <f t="shared" si="2"/>
        <v>1.3</v>
      </c>
      <c r="T50" s="18">
        <f t="shared" si="3"/>
        <v>1.3</v>
      </c>
      <c r="U50" s="36"/>
    </row>
    <row r="51" spans="1:21" x14ac:dyDescent="0.25">
      <c r="A51" s="33"/>
      <c r="B51" s="117" t="s">
        <v>82</v>
      </c>
      <c r="C51" s="136" t="s">
        <v>83</v>
      </c>
      <c r="D51" s="14" t="s">
        <v>15</v>
      </c>
      <c r="E51" s="14" t="s">
        <v>761</v>
      </c>
      <c r="F51" s="15">
        <v>44672</v>
      </c>
      <c r="G51" s="16">
        <v>15.2</v>
      </c>
      <c r="H51" s="15">
        <v>44854</v>
      </c>
      <c r="I51" s="16">
        <v>10.4</v>
      </c>
      <c r="J51" s="15"/>
      <c r="K51" s="16"/>
      <c r="L51" s="15"/>
      <c r="M51" s="63"/>
      <c r="N51" s="17"/>
      <c r="O51" s="16"/>
      <c r="P51" s="16"/>
      <c r="Q51" s="152">
        <f t="shared" si="0"/>
        <v>0</v>
      </c>
      <c r="R51" s="152">
        <f t="shared" si="1"/>
        <v>15.2</v>
      </c>
      <c r="S51" s="152">
        <f t="shared" si="2"/>
        <v>15.2</v>
      </c>
      <c r="T51" s="18">
        <f t="shared" si="3"/>
        <v>25.6</v>
      </c>
      <c r="U51" s="36"/>
    </row>
    <row r="52" spans="1:21" x14ac:dyDescent="0.25">
      <c r="B52" s="117" t="s">
        <v>900</v>
      </c>
      <c r="C52" s="136" t="s">
        <v>901</v>
      </c>
      <c r="D52" s="14" t="s">
        <v>15</v>
      </c>
      <c r="E52" s="14" t="s">
        <v>21</v>
      </c>
      <c r="F52" s="15">
        <v>44684</v>
      </c>
      <c r="G52" s="16">
        <v>7</v>
      </c>
      <c r="H52" s="15"/>
      <c r="I52" s="16"/>
      <c r="J52" s="15"/>
      <c r="K52" s="16"/>
      <c r="L52" s="15"/>
      <c r="M52" s="63"/>
      <c r="N52" s="17"/>
      <c r="O52" s="16"/>
      <c r="P52" s="16"/>
      <c r="Q52" s="152">
        <f t="shared" ref="Q52" si="32">IF(F52&lt;=Exp22Q1,G52,0)+IF(H52&lt;=Exp22Q1,I52,0)+IF(J52&lt;=Exp22Q1,K52,0)+IF(L52&lt;=Exp22Q1,M52,0)+IF(N52&lt;=Exp22Q1,O52,0)</f>
        <v>0</v>
      </c>
      <c r="R52" s="152">
        <f t="shared" ref="R52" si="33">IF(F52&lt;=Exp22H1,G52,0)+IF(H52&lt;=Exp22H1,I52,0)+IF(J52&lt;=Exp22H1,K52,0)+IF(L52&lt;=Exp22H1,M52,0)+IF(N52&lt;=Exp22H1,O52,0)</f>
        <v>7</v>
      </c>
      <c r="S52" s="152">
        <f t="shared" ref="S52" si="34">IF(F52&lt;=Exp22Q3,G52,0)+IF(H52&lt;=Exp22Q3,I52,0)+IF(J52&lt;=Exp22Q3,K52,0)+IF(L52&lt;=Exp22Q3,M52,0)+IF(N52&lt;=Exp22Q3,O52,0)</f>
        <v>7</v>
      </c>
      <c r="T52" s="18">
        <f t="shared" ref="T52" si="35">G52+I52+K52+M52+O52</f>
        <v>7</v>
      </c>
    </row>
    <row r="53" spans="1:21" x14ac:dyDescent="0.25">
      <c r="B53" s="117" t="s">
        <v>84</v>
      </c>
      <c r="C53" s="136" t="s">
        <v>85</v>
      </c>
      <c r="D53" s="14" t="s">
        <v>15</v>
      </c>
      <c r="E53" s="14" t="s">
        <v>16</v>
      </c>
      <c r="F53" s="15">
        <v>44670</v>
      </c>
      <c r="G53" s="16">
        <v>0.35</v>
      </c>
      <c r="H53" s="15">
        <v>44886</v>
      </c>
      <c r="I53" s="16">
        <v>0.24</v>
      </c>
      <c r="J53" s="15"/>
      <c r="K53" s="16"/>
      <c r="L53" s="15"/>
      <c r="M53" s="63"/>
      <c r="N53" s="17"/>
      <c r="O53" s="16"/>
      <c r="P53" s="16"/>
      <c r="Q53" s="152">
        <f t="shared" si="0"/>
        <v>0</v>
      </c>
      <c r="R53" s="152">
        <f t="shared" si="1"/>
        <v>0.35</v>
      </c>
      <c r="S53" s="152">
        <f t="shared" si="2"/>
        <v>0.35</v>
      </c>
      <c r="T53" s="18">
        <f t="shared" si="3"/>
        <v>0.59</v>
      </c>
    </row>
    <row r="54" spans="1:21" x14ac:dyDescent="0.25">
      <c r="B54" s="117" t="s">
        <v>86</v>
      </c>
      <c r="C54" s="136" t="s">
        <v>87</v>
      </c>
      <c r="D54" s="14" t="s">
        <v>15</v>
      </c>
      <c r="E54" s="14" t="s">
        <v>16</v>
      </c>
      <c r="F54" s="15">
        <v>44657</v>
      </c>
      <c r="G54" s="16">
        <v>0.23</v>
      </c>
      <c r="H54" s="15">
        <v>44841</v>
      </c>
      <c r="I54" s="16">
        <v>0.12</v>
      </c>
      <c r="J54" s="15"/>
      <c r="K54" s="16"/>
      <c r="L54" s="15"/>
      <c r="M54" s="63"/>
      <c r="N54" s="17"/>
      <c r="O54" s="16"/>
      <c r="P54" s="16"/>
      <c r="Q54" s="152">
        <f t="shared" si="0"/>
        <v>0</v>
      </c>
      <c r="R54" s="152">
        <f t="shared" si="1"/>
        <v>0.23</v>
      </c>
      <c r="S54" s="152">
        <f t="shared" si="2"/>
        <v>0.23</v>
      </c>
      <c r="T54" s="18">
        <f t="shared" si="3"/>
        <v>0.35</v>
      </c>
    </row>
    <row r="55" spans="1:21" x14ac:dyDescent="0.25">
      <c r="B55" s="117" t="s">
        <v>88</v>
      </c>
      <c r="C55" s="136" t="s">
        <v>89</v>
      </c>
      <c r="D55" s="14" t="s">
        <v>15</v>
      </c>
      <c r="E55" s="14" t="s">
        <v>16</v>
      </c>
      <c r="F55" s="15">
        <v>44670</v>
      </c>
      <c r="G55" s="16">
        <v>0.19</v>
      </c>
      <c r="H55" s="15"/>
      <c r="I55" s="16"/>
      <c r="J55" s="15"/>
      <c r="K55" s="16"/>
      <c r="L55" s="15"/>
      <c r="M55" s="63"/>
      <c r="N55" s="17"/>
      <c r="O55" s="16"/>
      <c r="P55" s="16"/>
      <c r="Q55" s="152">
        <f t="shared" si="0"/>
        <v>0</v>
      </c>
      <c r="R55" s="152">
        <f t="shared" si="1"/>
        <v>0.19</v>
      </c>
      <c r="S55" s="152">
        <f t="shared" si="2"/>
        <v>0.19</v>
      </c>
      <c r="T55" s="18">
        <f t="shared" si="3"/>
        <v>0.19</v>
      </c>
    </row>
    <row r="56" spans="1:21" x14ac:dyDescent="0.25">
      <c r="B56" s="117" t="s">
        <v>814</v>
      </c>
      <c r="C56" s="136" t="s">
        <v>815</v>
      </c>
      <c r="D56" s="14" t="s">
        <v>15</v>
      </c>
      <c r="E56" s="14" t="s">
        <v>16</v>
      </c>
      <c r="F56" s="15">
        <v>44650</v>
      </c>
      <c r="G56" s="16">
        <v>0.03</v>
      </c>
      <c r="H56" s="15"/>
      <c r="I56" s="16"/>
      <c r="J56" s="15"/>
      <c r="K56" s="16"/>
      <c r="L56" s="15"/>
      <c r="M56" s="63"/>
      <c r="N56" s="17"/>
      <c r="O56" s="16"/>
      <c r="P56" s="16"/>
      <c r="Q56" s="152">
        <f t="shared" si="0"/>
        <v>0</v>
      </c>
      <c r="R56" s="152">
        <f t="shared" si="1"/>
        <v>0.03</v>
      </c>
      <c r="S56" s="152">
        <f t="shared" si="2"/>
        <v>0.03</v>
      </c>
      <c r="T56" s="18">
        <f t="shared" si="3"/>
        <v>0.03</v>
      </c>
    </row>
    <row r="57" spans="1:21" x14ac:dyDescent="0.25">
      <c r="B57" s="117" t="s">
        <v>90</v>
      </c>
      <c r="C57" s="136" t="s">
        <v>91</v>
      </c>
      <c r="D57" s="14" t="s">
        <v>15</v>
      </c>
      <c r="E57" s="14" t="s">
        <v>16</v>
      </c>
      <c r="F57" s="15">
        <v>44679</v>
      </c>
      <c r="G57" s="16">
        <v>5.1499999999999997E-2</v>
      </c>
      <c r="H57" s="15">
        <v>44865</v>
      </c>
      <c r="I57" s="16">
        <v>5.8299999999999998E-2</v>
      </c>
      <c r="J57" s="15"/>
      <c r="K57" s="16"/>
      <c r="L57" s="15"/>
      <c r="M57" s="63"/>
      <c r="N57" s="17"/>
      <c r="O57" s="16"/>
      <c r="P57" s="16"/>
      <c r="Q57" s="152">
        <f t="shared" si="0"/>
        <v>0</v>
      </c>
      <c r="R57" s="152">
        <f t="shared" si="1"/>
        <v>5.1499999999999997E-2</v>
      </c>
      <c r="S57" s="152">
        <f t="shared" si="2"/>
        <v>5.1499999999999997E-2</v>
      </c>
      <c r="T57" s="18">
        <f t="shared" si="3"/>
        <v>0.10979999999999999</v>
      </c>
    </row>
    <row r="58" spans="1:21" x14ac:dyDescent="0.25">
      <c r="B58" s="117" t="s">
        <v>812</v>
      </c>
      <c r="C58" s="136" t="s">
        <v>813</v>
      </c>
      <c r="D58" s="14" t="s">
        <v>15</v>
      </c>
      <c r="E58" s="14" t="s">
        <v>16</v>
      </c>
      <c r="F58" s="15">
        <v>44693</v>
      </c>
      <c r="G58" s="16">
        <v>0.05</v>
      </c>
      <c r="H58" s="15"/>
      <c r="I58" s="16"/>
      <c r="J58" s="15"/>
      <c r="K58" s="16"/>
      <c r="L58" s="15"/>
      <c r="M58" s="63"/>
      <c r="N58" s="17"/>
      <c r="O58" s="16"/>
      <c r="P58" s="16"/>
      <c r="Q58" s="152">
        <f t="shared" si="0"/>
        <v>0</v>
      </c>
      <c r="R58" s="152">
        <f t="shared" si="1"/>
        <v>0.05</v>
      </c>
      <c r="S58" s="152">
        <f t="shared" si="2"/>
        <v>0.05</v>
      </c>
      <c r="T58" s="18">
        <f t="shared" si="3"/>
        <v>0.05</v>
      </c>
    </row>
    <row r="59" spans="1:21" x14ac:dyDescent="0.25">
      <c r="B59" s="117" t="s">
        <v>94</v>
      </c>
      <c r="C59" s="136" t="s">
        <v>95</v>
      </c>
      <c r="D59" s="14" t="s">
        <v>15</v>
      </c>
      <c r="E59" s="14" t="s">
        <v>16</v>
      </c>
      <c r="F59" s="15">
        <v>44558</v>
      </c>
      <c r="G59" s="16">
        <v>5.1482E-2</v>
      </c>
      <c r="H59" s="15">
        <v>44648</v>
      </c>
      <c r="I59" s="16">
        <v>5.8577999999999998E-2</v>
      </c>
      <c r="J59" s="15">
        <v>44739</v>
      </c>
      <c r="K59" s="16">
        <v>7.4121000000000006E-2</v>
      </c>
      <c r="L59" s="15">
        <v>44830</v>
      </c>
      <c r="M59" s="63">
        <v>6.4533999999999994E-2</v>
      </c>
      <c r="N59" s="17"/>
      <c r="O59" s="16"/>
      <c r="P59" s="16"/>
      <c r="Q59" s="152">
        <f t="shared" si="0"/>
        <v>5.1482E-2</v>
      </c>
      <c r="R59" s="152">
        <f t="shared" si="1"/>
        <v>0.11005999999999999</v>
      </c>
      <c r="S59" s="152">
        <f t="shared" si="2"/>
        <v>0.18418099999999998</v>
      </c>
      <c r="T59" s="18">
        <f t="shared" si="3"/>
        <v>0.24871499999999996</v>
      </c>
    </row>
    <row r="60" spans="1:21" x14ac:dyDescent="0.25">
      <c r="B60" s="117" t="s">
        <v>96</v>
      </c>
      <c r="C60" s="136" t="s">
        <v>97</v>
      </c>
      <c r="D60" s="14" t="s">
        <v>15</v>
      </c>
      <c r="E60" s="14" t="s">
        <v>761</v>
      </c>
      <c r="F60" s="15">
        <v>44623</v>
      </c>
      <c r="G60" s="16">
        <v>4</v>
      </c>
      <c r="H60" s="15">
        <v>44784</v>
      </c>
      <c r="I60" s="16">
        <v>2.25</v>
      </c>
      <c r="J60" s="15"/>
      <c r="K60" s="16"/>
      <c r="L60" s="15"/>
      <c r="M60" s="63"/>
      <c r="N60" s="17"/>
      <c r="O60" s="16"/>
      <c r="P60" s="16"/>
      <c r="Q60" s="152">
        <f t="shared" si="0"/>
        <v>4</v>
      </c>
      <c r="R60" s="152">
        <f t="shared" si="1"/>
        <v>4</v>
      </c>
      <c r="S60" s="152">
        <f t="shared" si="2"/>
        <v>6.25</v>
      </c>
      <c r="T60" s="18">
        <f t="shared" si="3"/>
        <v>6.25</v>
      </c>
    </row>
    <row r="61" spans="1:21" x14ac:dyDescent="0.25">
      <c r="B61" s="117" t="s">
        <v>98</v>
      </c>
      <c r="C61" s="136" t="s">
        <v>99</v>
      </c>
      <c r="D61" s="14" t="s">
        <v>15</v>
      </c>
      <c r="E61" s="14" t="s">
        <v>16</v>
      </c>
      <c r="F61" s="15">
        <v>44683</v>
      </c>
      <c r="G61" s="16">
        <v>3.4</v>
      </c>
      <c r="H61" s="15"/>
      <c r="I61" s="16"/>
      <c r="J61" s="15"/>
      <c r="K61" s="16"/>
      <c r="L61" s="15"/>
      <c r="M61" s="63"/>
      <c r="N61" s="17"/>
      <c r="O61" s="16"/>
      <c r="P61" s="16"/>
      <c r="Q61" s="152">
        <f t="shared" si="0"/>
        <v>0</v>
      </c>
      <c r="R61" s="152">
        <f t="shared" si="1"/>
        <v>3.4</v>
      </c>
      <c r="S61" s="152">
        <f t="shared" si="2"/>
        <v>3.4</v>
      </c>
      <c r="T61" s="18">
        <f t="shared" si="3"/>
        <v>3.4</v>
      </c>
    </row>
    <row r="62" spans="1:21" x14ac:dyDescent="0.25">
      <c r="B62" s="117" t="s">
        <v>804</v>
      </c>
      <c r="C62" s="136" t="s">
        <v>805</v>
      </c>
      <c r="D62" s="14" t="s">
        <v>15</v>
      </c>
      <c r="E62" s="14" t="s">
        <v>16</v>
      </c>
      <c r="F62" s="15">
        <v>44652</v>
      </c>
      <c r="G62" s="16">
        <v>3</v>
      </c>
      <c r="H62" s="15"/>
      <c r="I62" s="16"/>
      <c r="J62" s="15"/>
      <c r="K62" s="16"/>
      <c r="L62" s="15"/>
      <c r="M62" s="63"/>
      <c r="N62" s="17"/>
      <c r="O62" s="16"/>
      <c r="P62" s="16"/>
      <c r="Q62" s="152">
        <f t="shared" si="0"/>
        <v>0</v>
      </c>
      <c r="R62" s="152">
        <f t="shared" si="1"/>
        <v>3</v>
      </c>
      <c r="S62" s="152">
        <f t="shared" si="2"/>
        <v>3</v>
      </c>
      <c r="T62" s="18">
        <f t="shared" si="3"/>
        <v>3</v>
      </c>
    </row>
    <row r="63" spans="1:21" x14ac:dyDescent="0.25">
      <c r="B63" s="117" t="s">
        <v>100</v>
      </c>
      <c r="C63" s="136" t="s">
        <v>101</v>
      </c>
      <c r="D63" s="14" t="s">
        <v>15</v>
      </c>
      <c r="E63" s="14" t="s">
        <v>16</v>
      </c>
      <c r="F63" s="15">
        <v>44683</v>
      </c>
      <c r="G63" s="16">
        <v>2</v>
      </c>
      <c r="H63" s="15"/>
      <c r="I63" s="16"/>
      <c r="J63" s="15"/>
      <c r="K63" s="16"/>
      <c r="L63" s="15"/>
      <c r="M63" s="63"/>
      <c r="N63" s="17"/>
      <c r="O63" s="16"/>
      <c r="P63" s="16"/>
      <c r="Q63" s="152">
        <f t="shared" si="0"/>
        <v>0</v>
      </c>
      <c r="R63" s="152">
        <f t="shared" si="1"/>
        <v>2</v>
      </c>
      <c r="S63" s="152">
        <f t="shared" si="2"/>
        <v>2</v>
      </c>
      <c r="T63" s="18">
        <f t="shared" si="3"/>
        <v>2</v>
      </c>
    </row>
    <row r="64" spans="1:21" x14ac:dyDescent="0.25">
      <c r="B64" s="117" t="s">
        <v>777</v>
      </c>
      <c r="C64" s="136" t="s">
        <v>778</v>
      </c>
      <c r="D64" s="14" t="s">
        <v>15</v>
      </c>
      <c r="E64" s="14" t="s">
        <v>16</v>
      </c>
      <c r="F64" s="15">
        <v>44684</v>
      </c>
      <c r="G64" s="16">
        <v>3.33</v>
      </c>
      <c r="H64" s="15"/>
      <c r="I64" s="16"/>
      <c r="J64" s="15"/>
      <c r="K64" s="16"/>
      <c r="L64" s="15"/>
      <c r="M64" s="63"/>
      <c r="N64" s="17"/>
      <c r="O64" s="16"/>
      <c r="P64" s="16"/>
      <c r="Q64" s="152">
        <f t="shared" si="0"/>
        <v>0</v>
      </c>
      <c r="R64" s="152">
        <f t="shared" si="1"/>
        <v>3.33</v>
      </c>
      <c r="S64" s="152">
        <f t="shared" si="2"/>
        <v>3.33</v>
      </c>
      <c r="T64" s="18">
        <f t="shared" si="3"/>
        <v>3.33</v>
      </c>
    </row>
    <row r="65" spans="2:20" x14ac:dyDescent="0.25">
      <c r="B65" s="117" t="s">
        <v>865</v>
      </c>
      <c r="C65" s="136" t="s">
        <v>866</v>
      </c>
      <c r="D65" s="14" t="s">
        <v>15</v>
      </c>
      <c r="E65" s="14" t="s">
        <v>16</v>
      </c>
      <c r="F65" s="15">
        <v>44670</v>
      </c>
      <c r="G65" s="16">
        <v>0.7</v>
      </c>
      <c r="H65" s="15"/>
      <c r="I65" s="16"/>
      <c r="J65" s="15"/>
      <c r="K65" s="16"/>
      <c r="L65" s="15"/>
      <c r="M65" s="63"/>
      <c r="N65" s="17"/>
      <c r="O65" s="16"/>
      <c r="P65" s="16"/>
      <c r="Q65" s="152">
        <f t="shared" ref="Q65" si="36">IF(F65&lt;=Exp22Q1,G65,0)+IF(H65&lt;=Exp22Q1,I65,0)+IF(J65&lt;=Exp22Q1,K65,0)+IF(L65&lt;=Exp22Q1,M65,0)+IF(N65&lt;=Exp22Q1,O65,0)</f>
        <v>0</v>
      </c>
      <c r="R65" s="152">
        <f t="shared" ref="R65" si="37">IF(F65&lt;=Exp22H1,G65,0)+IF(H65&lt;=Exp22H1,I65,0)+IF(J65&lt;=Exp22H1,K65,0)+IF(L65&lt;=Exp22H1,M65,0)+IF(N65&lt;=Exp22H1,O65,0)</f>
        <v>0.7</v>
      </c>
      <c r="S65" s="152">
        <f t="shared" ref="S65" si="38">IF(F65&lt;=Exp22Q3,G65,0)+IF(H65&lt;=Exp22Q3,I65,0)+IF(J65&lt;=Exp22Q3,K65,0)+IF(L65&lt;=Exp22Q3,M65,0)+IF(N65&lt;=Exp22Q3,O65,0)</f>
        <v>0.7</v>
      </c>
      <c r="T65" s="18">
        <f t="shared" ref="T65" si="39">G65+I65+K65+M65+O65</f>
        <v>0.7</v>
      </c>
    </row>
    <row r="66" spans="2:20" x14ac:dyDescent="0.25">
      <c r="B66" s="117" t="s">
        <v>104</v>
      </c>
      <c r="C66" s="136" t="s">
        <v>105</v>
      </c>
      <c r="D66" s="14" t="s">
        <v>27</v>
      </c>
      <c r="E66" s="14" t="s">
        <v>16</v>
      </c>
      <c r="F66" s="15">
        <v>44693</v>
      </c>
      <c r="G66" s="16">
        <v>1.5</v>
      </c>
      <c r="H66" s="15"/>
      <c r="I66" s="16"/>
      <c r="J66" s="15"/>
      <c r="K66" s="16"/>
      <c r="L66" s="15"/>
      <c r="M66" s="16"/>
      <c r="N66" s="17"/>
      <c r="O66" s="16"/>
      <c r="P66" s="16"/>
      <c r="Q66" s="152">
        <f t="shared" si="0"/>
        <v>0</v>
      </c>
      <c r="R66" s="152">
        <f t="shared" si="1"/>
        <v>1.5</v>
      </c>
      <c r="S66" s="152">
        <f t="shared" si="2"/>
        <v>1.5</v>
      </c>
      <c r="T66" s="18">
        <f t="shared" si="3"/>
        <v>1.5</v>
      </c>
    </row>
    <row r="67" spans="2:20" x14ac:dyDescent="0.25">
      <c r="B67" s="117" t="s">
        <v>108</v>
      </c>
      <c r="C67" s="136" t="s">
        <v>109</v>
      </c>
      <c r="D67" s="14" t="s">
        <v>15</v>
      </c>
      <c r="E67" s="14" t="s">
        <v>16</v>
      </c>
      <c r="F67" s="15">
        <v>44693</v>
      </c>
      <c r="G67" s="16">
        <v>5.8</v>
      </c>
      <c r="H67" s="15"/>
      <c r="I67" s="16"/>
      <c r="J67" s="15"/>
      <c r="K67" s="16"/>
      <c r="L67" s="15"/>
      <c r="M67" s="63"/>
      <c r="N67" s="17"/>
      <c r="O67" s="16"/>
      <c r="P67" s="16"/>
      <c r="Q67" s="152">
        <f t="shared" si="0"/>
        <v>0</v>
      </c>
      <c r="R67" s="152">
        <f t="shared" si="1"/>
        <v>5.8</v>
      </c>
      <c r="S67" s="152">
        <f t="shared" si="2"/>
        <v>5.8</v>
      </c>
      <c r="T67" s="18">
        <f t="shared" si="3"/>
        <v>5.8</v>
      </c>
    </row>
    <row r="68" spans="2:20" x14ac:dyDescent="0.25">
      <c r="B68" s="117" t="s">
        <v>110</v>
      </c>
      <c r="C68" s="136" t="s">
        <v>111</v>
      </c>
      <c r="D68" s="14" t="s">
        <v>24</v>
      </c>
      <c r="E68" s="14" t="s">
        <v>16</v>
      </c>
      <c r="F68" s="15">
        <v>44704</v>
      </c>
      <c r="G68" s="16">
        <v>3.67</v>
      </c>
      <c r="H68" s="15"/>
      <c r="I68" s="16"/>
      <c r="J68" s="15"/>
      <c r="K68" s="16"/>
      <c r="L68" s="15"/>
      <c r="M68" s="16"/>
      <c r="N68" s="17"/>
      <c r="O68" s="16"/>
      <c r="P68" s="16"/>
      <c r="Q68" s="152">
        <f t="shared" si="0"/>
        <v>0</v>
      </c>
      <c r="R68" s="152">
        <f t="shared" si="1"/>
        <v>3.67</v>
      </c>
      <c r="S68" s="152">
        <f t="shared" si="2"/>
        <v>3.67</v>
      </c>
      <c r="T68" s="18">
        <f t="shared" si="3"/>
        <v>3.67</v>
      </c>
    </row>
    <row r="69" spans="2:20" x14ac:dyDescent="0.25">
      <c r="B69" s="117" t="s">
        <v>832</v>
      </c>
      <c r="C69" s="136" t="s">
        <v>833</v>
      </c>
      <c r="D69" s="14" t="s">
        <v>15</v>
      </c>
      <c r="E69" s="14" t="s">
        <v>200</v>
      </c>
      <c r="F69" s="153">
        <v>44680</v>
      </c>
      <c r="G69" s="154">
        <f>10.5*0.95888594</f>
        <v>10.068302370000001</v>
      </c>
      <c r="H69" s="15"/>
      <c r="I69" s="16"/>
      <c r="J69" s="15"/>
      <c r="K69" s="16"/>
      <c r="L69" s="15"/>
      <c r="M69" s="16"/>
      <c r="N69" s="17"/>
      <c r="O69" s="16"/>
      <c r="P69" s="16"/>
      <c r="Q69" s="152">
        <f t="shared" ref="Q69" si="40">IF(F69&lt;=Exp22Q1,G69,0)+IF(H69&lt;=Exp22Q1,I69,0)+IF(J69&lt;=Exp22Q1,K69,0)+IF(L69&lt;=Exp22Q1,M69,0)+IF(N69&lt;=Exp22Q1,O69,0)</f>
        <v>0</v>
      </c>
      <c r="R69" s="152">
        <f t="shared" ref="R69" si="41">IF(F69&lt;=Exp22H1,G69,0)+IF(H69&lt;=Exp22H1,I69,0)+IF(J69&lt;=Exp22H1,K69,0)+IF(L69&lt;=Exp22H1,M69,0)+IF(N69&lt;=Exp22H1,O69,0)</f>
        <v>10.068302370000001</v>
      </c>
      <c r="S69" s="152">
        <f t="shared" ref="S69" si="42">IF(F69&lt;=Exp22Q3,G69,0)+IF(H69&lt;=Exp22Q3,I69,0)+IF(J69&lt;=Exp22Q3,K69,0)+IF(L69&lt;=Exp22Q3,M69,0)+IF(N69&lt;=Exp22Q3,O69,0)</f>
        <v>10.068302370000001</v>
      </c>
      <c r="T69" s="18">
        <f t="shared" ref="T69" si="43">G69+I69+K69+M69+O69</f>
        <v>10.068302370000001</v>
      </c>
    </row>
    <row r="70" spans="2:20" x14ac:dyDescent="0.25">
      <c r="B70" s="117" t="s">
        <v>114</v>
      </c>
      <c r="C70" s="136" t="s">
        <v>115</v>
      </c>
      <c r="D70" s="14" t="s">
        <v>24</v>
      </c>
      <c r="E70" s="14" t="s">
        <v>16</v>
      </c>
      <c r="F70" s="15">
        <v>44721</v>
      </c>
      <c r="G70" s="16">
        <v>0.04</v>
      </c>
      <c r="H70" s="15">
        <v>44803</v>
      </c>
      <c r="I70" s="16">
        <v>0.02</v>
      </c>
      <c r="J70" s="15"/>
      <c r="K70" s="16"/>
      <c r="L70" s="15"/>
      <c r="M70" s="63"/>
      <c r="N70" s="17"/>
      <c r="O70" s="16"/>
      <c r="P70" s="16"/>
      <c r="Q70" s="152">
        <f t="shared" si="0"/>
        <v>0</v>
      </c>
      <c r="R70" s="152">
        <f t="shared" si="1"/>
        <v>0.04</v>
      </c>
      <c r="S70" s="152">
        <f t="shared" si="2"/>
        <v>0.06</v>
      </c>
      <c r="T70" s="18">
        <f t="shared" si="3"/>
        <v>0.06</v>
      </c>
    </row>
    <row r="71" spans="2:20" x14ac:dyDescent="0.25">
      <c r="B71" s="117" t="s">
        <v>120</v>
      </c>
      <c r="C71" s="136" t="s">
        <v>121</v>
      </c>
      <c r="D71" s="14" t="s">
        <v>24</v>
      </c>
      <c r="E71" s="14" t="s">
        <v>16</v>
      </c>
      <c r="F71" s="15">
        <v>44684</v>
      </c>
      <c r="G71" s="16">
        <v>1.8</v>
      </c>
      <c r="H71" s="15"/>
      <c r="I71" s="16"/>
      <c r="J71" s="15"/>
      <c r="K71" s="16"/>
      <c r="L71" s="15"/>
      <c r="M71" s="63"/>
      <c r="N71" s="17"/>
      <c r="O71" s="16"/>
      <c r="P71" s="16"/>
      <c r="Q71" s="152">
        <f t="shared" si="0"/>
        <v>0</v>
      </c>
      <c r="R71" s="152">
        <f t="shared" si="1"/>
        <v>1.8</v>
      </c>
      <c r="S71" s="152">
        <f t="shared" si="2"/>
        <v>1.8</v>
      </c>
      <c r="T71" s="18">
        <f t="shared" si="3"/>
        <v>1.8</v>
      </c>
    </row>
    <row r="72" spans="2:20" x14ac:dyDescent="0.25">
      <c r="B72" s="117" t="s">
        <v>122</v>
      </c>
      <c r="C72" s="136" t="s">
        <v>123</v>
      </c>
      <c r="D72" s="14" t="s">
        <v>15</v>
      </c>
      <c r="E72" s="14" t="s">
        <v>761</v>
      </c>
      <c r="F72" s="15">
        <v>44609</v>
      </c>
      <c r="G72" s="16">
        <v>4.0301828999999998</v>
      </c>
      <c r="H72" s="15">
        <v>44693</v>
      </c>
      <c r="I72" s="16">
        <v>4.4459</v>
      </c>
      <c r="J72" s="15">
        <v>44784</v>
      </c>
      <c r="K72" s="16">
        <v>5.0010000000000003</v>
      </c>
      <c r="L72" s="15">
        <v>44875</v>
      </c>
      <c r="M72" s="63">
        <v>5.2511999999999999</v>
      </c>
      <c r="N72" s="17"/>
      <c r="O72" s="16"/>
      <c r="P72" s="16"/>
      <c r="Q72" s="152">
        <f t="shared" si="0"/>
        <v>4.0301828999999998</v>
      </c>
      <c r="R72" s="152">
        <f t="shared" si="1"/>
        <v>8.4760828999999998</v>
      </c>
      <c r="S72" s="152">
        <f t="shared" si="2"/>
        <v>13.477082899999999</v>
      </c>
      <c r="T72" s="18">
        <f t="shared" si="3"/>
        <v>18.7282829</v>
      </c>
    </row>
    <row r="73" spans="2:20" x14ac:dyDescent="0.25">
      <c r="B73" s="117" t="s">
        <v>124</v>
      </c>
      <c r="C73" s="136" t="s">
        <v>125</v>
      </c>
      <c r="D73" s="14" t="s">
        <v>15</v>
      </c>
      <c r="E73" s="14" t="s">
        <v>16</v>
      </c>
      <c r="F73" s="15">
        <v>44704</v>
      </c>
      <c r="G73" s="16">
        <v>0.06</v>
      </c>
      <c r="H73" s="15"/>
      <c r="I73" s="16"/>
      <c r="J73" s="15"/>
      <c r="K73" s="16"/>
      <c r="L73" s="15"/>
      <c r="M73" s="63"/>
      <c r="N73" s="17"/>
      <c r="O73" s="16"/>
      <c r="P73" s="16"/>
      <c r="Q73" s="152">
        <f t="shared" si="0"/>
        <v>0</v>
      </c>
      <c r="R73" s="152">
        <f t="shared" si="1"/>
        <v>0.06</v>
      </c>
      <c r="S73" s="152">
        <f t="shared" si="2"/>
        <v>0.06</v>
      </c>
      <c r="T73" s="18">
        <f t="shared" si="3"/>
        <v>0.06</v>
      </c>
    </row>
    <row r="74" spans="2:20" x14ac:dyDescent="0.25">
      <c r="B74" s="117" t="s">
        <v>126</v>
      </c>
      <c r="C74" s="136" t="s">
        <v>127</v>
      </c>
      <c r="D74" s="14" t="s">
        <v>27</v>
      </c>
      <c r="E74" s="14" t="s">
        <v>16</v>
      </c>
      <c r="F74" s="15">
        <v>44697</v>
      </c>
      <c r="G74" s="16">
        <v>0.49</v>
      </c>
      <c r="H74" s="15"/>
      <c r="I74" s="16"/>
      <c r="J74" s="15"/>
      <c r="K74" s="16"/>
      <c r="L74" s="15"/>
      <c r="M74" s="63"/>
      <c r="N74" s="17"/>
      <c r="O74" s="16"/>
      <c r="P74" s="16"/>
      <c r="Q74" s="152">
        <f t="shared" si="0"/>
        <v>0</v>
      </c>
      <c r="R74" s="152">
        <f t="shared" si="1"/>
        <v>0.49</v>
      </c>
      <c r="S74" s="152">
        <f t="shared" si="2"/>
        <v>0.49</v>
      </c>
      <c r="T74" s="18">
        <f t="shared" si="3"/>
        <v>0.49</v>
      </c>
    </row>
    <row r="75" spans="2:20" x14ac:dyDescent="0.25">
      <c r="B75" s="117" t="s">
        <v>902</v>
      </c>
      <c r="C75" s="136" t="s">
        <v>903</v>
      </c>
      <c r="D75" s="14" t="s">
        <v>15</v>
      </c>
      <c r="E75" s="14" t="s">
        <v>16</v>
      </c>
      <c r="F75" s="15">
        <v>44722</v>
      </c>
      <c r="G75" s="16">
        <v>1.45</v>
      </c>
      <c r="H75" s="15"/>
      <c r="I75" s="16"/>
      <c r="J75" s="15"/>
      <c r="K75" s="16"/>
      <c r="L75" s="15"/>
      <c r="M75" s="63"/>
      <c r="N75" s="17"/>
      <c r="O75" s="16"/>
      <c r="P75" s="16"/>
      <c r="Q75" s="152">
        <f t="shared" ref="Q75" si="44">IF(F75&lt;=Exp22Q1,G75,0)+IF(H75&lt;=Exp22Q1,I75,0)+IF(J75&lt;=Exp22Q1,K75,0)+IF(L75&lt;=Exp22Q1,M75,0)+IF(N75&lt;=Exp22Q1,O75,0)</f>
        <v>0</v>
      </c>
      <c r="R75" s="152">
        <f t="shared" ref="R75" si="45">IF(F75&lt;=Exp22H1,G75,0)+IF(H75&lt;=Exp22H1,I75,0)+IF(J75&lt;=Exp22H1,K75,0)+IF(L75&lt;=Exp22H1,M75,0)+IF(N75&lt;=Exp22H1,O75,0)</f>
        <v>1.45</v>
      </c>
      <c r="S75" s="152">
        <f t="shared" ref="S75" si="46">IF(F75&lt;=Exp22Q3,G75,0)+IF(H75&lt;=Exp22Q3,I75,0)+IF(J75&lt;=Exp22Q3,K75,0)+IF(L75&lt;=Exp22Q3,M75,0)+IF(N75&lt;=Exp22Q3,O75,0)</f>
        <v>1.45</v>
      </c>
      <c r="T75" s="18">
        <f t="shared" ref="T75" si="47">G75+I75+K75+M75+O75</f>
        <v>1.45</v>
      </c>
    </row>
    <row r="76" spans="2:20" x14ac:dyDescent="0.25">
      <c r="B76" s="117" t="s">
        <v>128</v>
      </c>
      <c r="C76" s="136" t="s">
        <v>129</v>
      </c>
      <c r="D76" s="14" t="s">
        <v>15</v>
      </c>
      <c r="E76" s="14" t="s">
        <v>761</v>
      </c>
      <c r="F76" s="15">
        <v>44553</v>
      </c>
      <c r="G76" s="16">
        <v>53.9</v>
      </c>
      <c r="H76" s="15">
        <v>44644</v>
      </c>
      <c r="I76" s="16">
        <v>54.45</v>
      </c>
      <c r="J76" s="15">
        <v>44749</v>
      </c>
      <c r="K76" s="16">
        <v>54.45</v>
      </c>
      <c r="L76" s="15">
        <v>44833</v>
      </c>
      <c r="M76" s="63">
        <v>54.45</v>
      </c>
      <c r="N76" s="17"/>
      <c r="O76" s="16"/>
      <c r="P76" s="16"/>
      <c r="Q76" s="152">
        <f t="shared" si="0"/>
        <v>53.9</v>
      </c>
      <c r="R76" s="152">
        <f t="shared" si="1"/>
        <v>108.35</v>
      </c>
      <c r="S76" s="152">
        <f t="shared" si="2"/>
        <v>162.80000000000001</v>
      </c>
      <c r="T76" s="18">
        <f t="shared" si="3"/>
        <v>217.25</v>
      </c>
    </row>
    <row r="77" spans="2:20" x14ac:dyDescent="0.25">
      <c r="B77" s="117" t="s">
        <v>130</v>
      </c>
      <c r="C77" s="136" t="s">
        <v>131</v>
      </c>
      <c r="D77" s="14" t="s">
        <v>15</v>
      </c>
      <c r="E77" s="14" t="s">
        <v>761</v>
      </c>
      <c r="F77" s="15">
        <v>44560</v>
      </c>
      <c r="G77" s="16">
        <v>2.31</v>
      </c>
      <c r="H77" s="15">
        <v>44777</v>
      </c>
      <c r="I77" s="16">
        <v>5.39</v>
      </c>
      <c r="J77" s="15"/>
      <c r="K77" s="16"/>
      <c r="L77" s="15"/>
      <c r="M77" s="63"/>
      <c r="N77" s="17"/>
      <c r="O77" s="16"/>
      <c r="P77" s="16"/>
      <c r="Q77" s="152">
        <f t="shared" si="0"/>
        <v>2.31</v>
      </c>
      <c r="R77" s="152">
        <f t="shared" si="1"/>
        <v>2.31</v>
      </c>
      <c r="S77" s="152">
        <f t="shared" si="2"/>
        <v>7.6999999999999993</v>
      </c>
      <c r="T77" s="18">
        <f t="shared" si="3"/>
        <v>7.6999999999999993</v>
      </c>
    </row>
    <row r="78" spans="2:20" x14ac:dyDescent="0.25">
      <c r="B78" s="117" t="s">
        <v>132</v>
      </c>
      <c r="C78" s="136" t="s">
        <v>133</v>
      </c>
      <c r="D78" s="14" t="s">
        <v>15</v>
      </c>
      <c r="E78" s="14" t="s">
        <v>16</v>
      </c>
      <c r="F78" s="15">
        <v>44665</v>
      </c>
      <c r="G78" s="16">
        <v>0.14630000000000001</v>
      </c>
      <c r="H78" s="15"/>
      <c r="I78" s="16"/>
      <c r="J78" s="15"/>
      <c r="K78" s="16"/>
      <c r="L78" s="15"/>
      <c r="M78" s="63"/>
      <c r="N78" s="17"/>
      <c r="O78" s="16"/>
      <c r="P78" s="16"/>
      <c r="Q78" s="152">
        <f t="shared" si="0"/>
        <v>0</v>
      </c>
      <c r="R78" s="152">
        <f t="shared" si="1"/>
        <v>0.14630000000000001</v>
      </c>
      <c r="S78" s="152">
        <f t="shared" si="2"/>
        <v>0.14630000000000001</v>
      </c>
      <c r="T78" s="18">
        <f t="shared" si="3"/>
        <v>0.14630000000000001</v>
      </c>
    </row>
    <row r="79" spans="2:20" x14ac:dyDescent="0.25">
      <c r="B79" s="117" t="s">
        <v>608</v>
      </c>
      <c r="C79" s="136" t="s">
        <v>134</v>
      </c>
      <c r="D79" s="14" t="s">
        <v>24</v>
      </c>
      <c r="E79" s="14" t="s">
        <v>16</v>
      </c>
      <c r="F79" s="15">
        <v>44713</v>
      </c>
      <c r="G79" s="16">
        <v>2.4</v>
      </c>
      <c r="H79" s="15"/>
      <c r="I79" s="16"/>
      <c r="J79" s="15"/>
      <c r="K79" s="16"/>
      <c r="L79" s="15"/>
      <c r="M79" s="63"/>
      <c r="N79" s="17"/>
      <c r="O79" s="16"/>
      <c r="P79" s="16"/>
      <c r="Q79" s="152">
        <f t="shared" si="0"/>
        <v>0</v>
      </c>
      <c r="R79" s="152">
        <f t="shared" si="1"/>
        <v>2.4</v>
      </c>
      <c r="S79" s="152">
        <f t="shared" si="2"/>
        <v>2.4</v>
      </c>
      <c r="T79" s="18">
        <f t="shared" si="3"/>
        <v>2.4</v>
      </c>
    </row>
    <row r="80" spans="2:20" x14ac:dyDescent="0.25">
      <c r="B80" s="117" t="s">
        <v>135</v>
      </c>
      <c r="C80" s="136" t="s">
        <v>136</v>
      </c>
      <c r="D80" s="14" t="s">
        <v>24</v>
      </c>
      <c r="E80" s="14" t="s">
        <v>16</v>
      </c>
      <c r="F80" s="15">
        <v>44719</v>
      </c>
      <c r="G80" s="16">
        <v>0.52</v>
      </c>
      <c r="H80" s="15"/>
      <c r="I80" s="16"/>
      <c r="J80" s="15"/>
      <c r="K80" s="16"/>
      <c r="L80" s="15"/>
      <c r="M80" s="63"/>
      <c r="N80" s="17"/>
      <c r="O80" s="16"/>
      <c r="P80" s="16"/>
      <c r="Q80" s="152">
        <f t="shared" si="0"/>
        <v>0</v>
      </c>
      <c r="R80" s="152">
        <f t="shared" si="1"/>
        <v>0.52</v>
      </c>
      <c r="S80" s="152">
        <f t="shared" si="2"/>
        <v>0.52</v>
      </c>
      <c r="T80" s="18">
        <f t="shared" si="3"/>
        <v>0.52</v>
      </c>
    </row>
    <row r="81" spans="2:20" x14ac:dyDescent="0.25">
      <c r="B81" s="117" t="s">
        <v>137</v>
      </c>
      <c r="C81" s="136" t="s">
        <v>138</v>
      </c>
      <c r="D81" s="14" t="s">
        <v>24</v>
      </c>
      <c r="E81" s="14" t="s">
        <v>16</v>
      </c>
      <c r="F81" s="15"/>
      <c r="G81" s="16"/>
      <c r="H81" s="15"/>
      <c r="I81" s="16"/>
      <c r="J81" s="15"/>
      <c r="K81" s="16"/>
      <c r="L81" s="15"/>
      <c r="M81" s="63"/>
      <c r="N81" s="17"/>
      <c r="O81" s="16"/>
      <c r="P81" s="16"/>
      <c r="Q81" s="152">
        <f t="shared" si="0"/>
        <v>0</v>
      </c>
      <c r="R81" s="152">
        <f t="shared" si="1"/>
        <v>0</v>
      </c>
      <c r="S81" s="152">
        <f t="shared" si="2"/>
        <v>0</v>
      </c>
      <c r="T81" s="18">
        <f t="shared" si="3"/>
        <v>0</v>
      </c>
    </row>
    <row r="82" spans="2:20" x14ac:dyDescent="0.25">
      <c r="B82" s="117" t="s">
        <v>139</v>
      </c>
      <c r="C82" s="136" t="s">
        <v>140</v>
      </c>
      <c r="D82" s="14" t="s">
        <v>15</v>
      </c>
      <c r="E82" s="14" t="s">
        <v>761</v>
      </c>
      <c r="F82" s="15">
        <v>44840</v>
      </c>
      <c r="G82" s="16">
        <v>1</v>
      </c>
      <c r="H82" s="15"/>
      <c r="I82" s="16"/>
      <c r="J82" s="15"/>
      <c r="K82" s="16"/>
      <c r="L82" s="15"/>
      <c r="M82" s="63"/>
      <c r="N82" s="17"/>
      <c r="O82" s="16"/>
      <c r="P82" s="16"/>
      <c r="Q82" s="152">
        <f t="shared" si="0"/>
        <v>0</v>
      </c>
      <c r="R82" s="152">
        <f t="shared" si="1"/>
        <v>0</v>
      </c>
      <c r="S82" s="152">
        <f t="shared" si="2"/>
        <v>0</v>
      </c>
      <c r="T82" s="18">
        <f t="shared" si="3"/>
        <v>1</v>
      </c>
    </row>
    <row r="83" spans="2:20" x14ac:dyDescent="0.25">
      <c r="B83" s="117" t="s">
        <v>151</v>
      </c>
      <c r="C83" s="136" t="s">
        <v>152</v>
      </c>
      <c r="D83" s="14" t="s">
        <v>15</v>
      </c>
      <c r="E83" s="14" t="s">
        <v>16</v>
      </c>
      <c r="F83" s="15">
        <v>44749</v>
      </c>
      <c r="G83" s="16">
        <v>0.71</v>
      </c>
      <c r="H83" s="15"/>
      <c r="I83" s="16"/>
      <c r="J83" s="15"/>
      <c r="K83" s="16"/>
      <c r="L83" s="15"/>
      <c r="M83" s="63"/>
      <c r="N83" s="17"/>
      <c r="O83" s="16"/>
      <c r="P83" s="16"/>
      <c r="Q83" s="152">
        <f t="shared" si="0"/>
        <v>0</v>
      </c>
      <c r="R83" s="152">
        <f t="shared" si="1"/>
        <v>0</v>
      </c>
      <c r="S83" s="152">
        <f t="shared" si="2"/>
        <v>0.71</v>
      </c>
      <c r="T83" s="18">
        <f t="shared" si="3"/>
        <v>0.71</v>
      </c>
    </row>
    <row r="84" spans="2:20" x14ac:dyDescent="0.25">
      <c r="B84" s="117" t="s">
        <v>806</v>
      </c>
      <c r="C84" s="136" t="s">
        <v>807</v>
      </c>
      <c r="D84" s="14" t="s">
        <v>27</v>
      </c>
      <c r="E84" s="14" t="s">
        <v>16</v>
      </c>
      <c r="F84" s="15">
        <v>44697</v>
      </c>
      <c r="G84" s="16">
        <v>6</v>
      </c>
      <c r="H84" s="15"/>
      <c r="I84" s="16"/>
      <c r="J84" s="15"/>
      <c r="K84" s="16"/>
      <c r="L84" s="15"/>
      <c r="M84" s="63"/>
      <c r="N84" s="17"/>
      <c r="O84" s="16"/>
      <c r="P84" s="16"/>
      <c r="Q84" s="152">
        <f t="shared" si="0"/>
        <v>0</v>
      </c>
      <c r="R84" s="152">
        <f t="shared" si="1"/>
        <v>6</v>
      </c>
      <c r="S84" s="152">
        <f t="shared" si="2"/>
        <v>6</v>
      </c>
      <c r="T84" s="18">
        <f t="shared" si="3"/>
        <v>6</v>
      </c>
    </row>
    <row r="85" spans="2:20" x14ac:dyDescent="0.25">
      <c r="B85" s="117" t="s">
        <v>153</v>
      </c>
      <c r="C85" s="136" t="s">
        <v>154</v>
      </c>
      <c r="D85" s="14" t="s">
        <v>27</v>
      </c>
      <c r="E85" s="14" t="s">
        <v>16</v>
      </c>
      <c r="F85" s="15">
        <v>44834</v>
      </c>
      <c r="G85" s="16">
        <v>1.1000000000000001</v>
      </c>
      <c r="H85" s="15"/>
      <c r="I85" s="16"/>
      <c r="J85" s="15"/>
      <c r="K85" s="16"/>
      <c r="L85" s="15"/>
      <c r="M85" s="63"/>
      <c r="N85" s="17"/>
      <c r="O85" s="16"/>
      <c r="P85" s="16"/>
      <c r="Q85" s="152">
        <f t="shared" ref="Q85:Q159" si="48">IF(F85&lt;=Exp22Q1,G85,0)+IF(H85&lt;=Exp22Q1,I85,0)+IF(J85&lt;=Exp22Q1,K85,0)+IF(L85&lt;=Exp22Q1,M85,0)+IF(N85&lt;=Exp22Q1,O85,0)</f>
        <v>0</v>
      </c>
      <c r="R85" s="152">
        <f t="shared" ref="R85:R159" si="49">IF(F85&lt;=Exp22H1,G85,0)+IF(H85&lt;=Exp22H1,I85,0)+IF(J85&lt;=Exp22H1,K85,0)+IF(L85&lt;=Exp22H1,M85,0)+IF(N85&lt;=Exp22H1,O85,0)</f>
        <v>0</v>
      </c>
      <c r="S85" s="152">
        <f t="shared" ref="S85:S159" si="50">IF(F85&lt;=Exp22Q3,G85,0)+IF(H85&lt;=Exp22Q3,I85,0)+IF(J85&lt;=Exp22Q3,K85,0)+IF(L85&lt;=Exp22Q3,M85,0)+IF(N85&lt;=Exp22Q3,O85,0)</f>
        <v>0</v>
      </c>
      <c r="T85" s="18">
        <f t="shared" si="3"/>
        <v>1.1000000000000001</v>
      </c>
    </row>
    <row r="86" spans="2:20" x14ac:dyDescent="0.25">
      <c r="B86" s="117" t="s">
        <v>156</v>
      </c>
      <c r="C86" s="136" t="s">
        <v>157</v>
      </c>
      <c r="D86" s="14" t="s">
        <v>15</v>
      </c>
      <c r="E86" s="14" t="s">
        <v>21</v>
      </c>
      <c r="F86" s="153">
        <v>44825</v>
      </c>
      <c r="G86" s="154">
        <f>2.25*0.9899548</f>
        <v>2.2273982999999999</v>
      </c>
      <c r="H86" s="15"/>
      <c r="I86" s="16"/>
      <c r="J86" s="15"/>
      <c r="K86" s="16"/>
      <c r="L86" s="15"/>
      <c r="M86" s="63"/>
      <c r="N86" s="17"/>
      <c r="O86" s="16"/>
      <c r="P86" s="16"/>
      <c r="Q86" s="152">
        <f t="shared" si="48"/>
        <v>0</v>
      </c>
      <c r="R86" s="152">
        <f t="shared" si="49"/>
        <v>0</v>
      </c>
      <c r="S86" s="152">
        <f t="shared" si="50"/>
        <v>0</v>
      </c>
      <c r="T86" s="18">
        <f t="shared" si="3"/>
        <v>2.2273982999999999</v>
      </c>
    </row>
    <row r="87" spans="2:20" x14ac:dyDescent="0.25">
      <c r="B87" s="117" t="s">
        <v>158</v>
      </c>
      <c r="C87" s="136" t="s">
        <v>159</v>
      </c>
      <c r="D87" s="14" t="s">
        <v>15</v>
      </c>
      <c r="E87" s="14" t="s">
        <v>761</v>
      </c>
      <c r="F87" s="15">
        <v>44581</v>
      </c>
      <c r="G87" s="16">
        <v>14</v>
      </c>
      <c r="H87" s="15">
        <v>44721</v>
      </c>
      <c r="I87" s="16">
        <v>9.4</v>
      </c>
      <c r="J87" s="15"/>
      <c r="K87" s="16"/>
      <c r="L87" s="15"/>
      <c r="M87" s="63"/>
      <c r="N87" s="17"/>
      <c r="O87" s="16"/>
      <c r="P87" s="16"/>
      <c r="Q87" s="152">
        <f t="shared" si="48"/>
        <v>14</v>
      </c>
      <c r="R87" s="152">
        <f t="shared" si="49"/>
        <v>23.4</v>
      </c>
      <c r="S87" s="152">
        <f t="shared" si="50"/>
        <v>23.4</v>
      </c>
      <c r="T87" s="18">
        <f t="shared" si="3"/>
        <v>23.4</v>
      </c>
    </row>
    <row r="88" spans="2:20" x14ac:dyDescent="0.25">
      <c r="B88" s="117" t="s">
        <v>164</v>
      </c>
      <c r="C88" s="136" t="s">
        <v>165</v>
      </c>
      <c r="D88" s="14" t="s">
        <v>24</v>
      </c>
      <c r="E88" s="14" t="s">
        <v>16</v>
      </c>
      <c r="F88" s="15">
        <v>44711</v>
      </c>
      <c r="G88" s="16">
        <v>1.05</v>
      </c>
      <c r="H88" s="15"/>
      <c r="I88" s="16"/>
      <c r="J88" s="15"/>
      <c r="K88" s="16"/>
      <c r="L88" s="15"/>
      <c r="M88" s="63"/>
      <c r="N88" s="17"/>
      <c r="O88" s="16"/>
      <c r="P88" s="16"/>
      <c r="Q88" s="152">
        <f t="shared" si="48"/>
        <v>0</v>
      </c>
      <c r="R88" s="152">
        <f t="shared" si="49"/>
        <v>1.05</v>
      </c>
      <c r="S88" s="152">
        <f t="shared" si="50"/>
        <v>1.05</v>
      </c>
      <c r="T88" s="18">
        <f t="shared" si="3"/>
        <v>1.05</v>
      </c>
    </row>
    <row r="89" spans="2:20" x14ac:dyDescent="0.25">
      <c r="B89" s="117" t="s">
        <v>166</v>
      </c>
      <c r="C89" s="136" t="s">
        <v>167</v>
      </c>
      <c r="D89" s="14" t="s">
        <v>15</v>
      </c>
      <c r="E89" s="14" t="s">
        <v>21</v>
      </c>
      <c r="F89" s="153">
        <v>44690</v>
      </c>
      <c r="G89" s="154">
        <f>0.1*0.94655415</f>
        <v>9.4655415000000007E-2</v>
      </c>
      <c r="H89" s="15"/>
      <c r="I89" s="16"/>
      <c r="J89" s="15"/>
      <c r="K89" s="16"/>
      <c r="L89" s="15"/>
      <c r="M89" s="63"/>
      <c r="N89" s="17"/>
      <c r="O89" s="16"/>
      <c r="P89" s="16"/>
      <c r="Q89" s="152">
        <f t="shared" si="48"/>
        <v>0</v>
      </c>
      <c r="R89" s="152">
        <f t="shared" si="49"/>
        <v>9.4655415000000007E-2</v>
      </c>
      <c r="S89" s="152">
        <f t="shared" si="50"/>
        <v>9.4655415000000007E-2</v>
      </c>
      <c r="T89" s="18">
        <f t="shared" si="3"/>
        <v>9.4655415000000007E-2</v>
      </c>
    </row>
    <row r="90" spans="2:20" x14ac:dyDescent="0.25">
      <c r="B90" s="155" t="s">
        <v>168</v>
      </c>
      <c r="C90" s="156" t="s">
        <v>169</v>
      </c>
      <c r="D90" s="39" t="s">
        <v>15</v>
      </c>
      <c r="E90" s="39" t="s">
        <v>16</v>
      </c>
      <c r="F90" s="40">
        <v>44630</v>
      </c>
      <c r="G90" s="41">
        <f>0.98/1.0993</f>
        <v>0.89147639406895296</v>
      </c>
      <c r="H90" s="40">
        <v>44813</v>
      </c>
      <c r="I90" s="41">
        <f>0.24/0.9885</f>
        <v>0.24279210925644915</v>
      </c>
      <c r="J90" s="40"/>
      <c r="K90" s="41"/>
      <c r="L90" s="40"/>
      <c r="M90" s="79"/>
      <c r="N90" s="42"/>
      <c r="O90" s="41"/>
      <c r="P90" s="41"/>
      <c r="Q90" s="157">
        <f t="shared" si="48"/>
        <v>0.89147639406895296</v>
      </c>
      <c r="R90" s="157">
        <f t="shared" si="49"/>
        <v>0.89147639406895296</v>
      </c>
      <c r="S90" s="157">
        <f t="shared" si="50"/>
        <v>1.1342685033254021</v>
      </c>
      <c r="T90" s="43">
        <f t="shared" si="3"/>
        <v>1.1342685033254021</v>
      </c>
    </row>
    <row r="91" spans="2:20" x14ac:dyDescent="0.25">
      <c r="B91" s="117" t="s">
        <v>823</v>
      </c>
      <c r="C91" s="136" t="s">
        <v>819</v>
      </c>
      <c r="D91" s="14" t="s">
        <v>15</v>
      </c>
      <c r="E91" s="14" t="s">
        <v>16</v>
      </c>
      <c r="F91" s="15">
        <v>44683</v>
      </c>
      <c r="G91" s="16">
        <v>5</v>
      </c>
      <c r="H91" s="15"/>
      <c r="I91" s="16"/>
      <c r="J91" s="15"/>
      <c r="K91" s="16"/>
      <c r="L91" s="15"/>
      <c r="M91" s="63"/>
      <c r="N91" s="17"/>
      <c r="O91" s="16"/>
      <c r="P91" s="16"/>
      <c r="Q91" s="152">
        <f t="shared" si="48"/>
        <v>0</v>
      </c>
      <c r="R91" s="152">
        <f t="shared" si="49"/>
        <v>5</v>
      </c>
      <c r="S91" s="152">
        <f t="shared" si="50"/>
        <v>5</v>
      </c>
      <c r="T91" s="18">
        <f t="shared" ref="T91" si="51">G91+I91+K91+M91+O91</f>
        <v>5</v>
      </c>
    </row>
    <row r="92" spans="2:20" x14ac:dyDescent="0.25">
      <c r="B92" s="158" t="s">
        <v>820</v>
      </c>
      <c r="C92" s="159" t="s">
        <v>821</v>
      </c>
      <c r="D92" s="45" t="s">
        <v>15</v>
      </c>
      <c r="E92" s="45" t="s">
        <v>16</v>
      </c>
      <c r="F92" s="46"/>
      <c r="G92" s="47"/>
      <c r="H92" s="46"/>
      <c r="I92" s="47"/>
      <c r="J92" s="46"/>
      <c r="K92" s="47"/>
      <c r="L92" s="46"/>
      <c r="M92" s="80"/>
      <c r="N92" s="48"/>
      <c r="O92" s="47"/>
      <c r="P92" s="47"/>
      <c r="Q92" s="152">
        <f t="shared" ref="Q92" si="52">IF(F92&lt;=Exp22Q1,G92,0)+IF(H92&lt;=Exp22Q1,I92,0)+IF(J92&lt;=Exp22Q1,K92,0)+IF(L92&lt;=Exp22Q1,M92,0)+IF(N92&lt;=Exp22Q1,O92,0)</f>
        <v>0</v>
      </c>
      <c r="R92" s="152">
        <f t="shared" ref="R92" si="53">IF(F92&lt;=Exp22H1,G92,0)+IF(H92&lt;=Exp22H1,I92,0)+IF(J92&lt;=Exp22H1,K92,0)+IF(L92&lt;=Exp22H1,M92,0)+IF(N92&lt;=Exp22H1,O92,0)</f>
        <v>0</v>
      </c>
      <c r="S92" s="152">
        <f t="shared" ref="S92" si="54">IF(F92&lt;=Exp22Q3,G92,0)+IF(H92&lt;=Exp22Q3,I92,0)+IF(J92&lt;=Exp22Q3,K92,0)+IF(L92&lt;=Exp22Q3,M92,0)+IF(N92&lt;=Exp22Q3,O92,0)</f>
        <v>0</v>
      </c>
      <c r="T92" s="18">
        <f t="shared" ref="T92" si="55">G92+I92+K92+M92+O92</f>
        <v>0</v>
      </c>
    </row>
    <row r="93" spans="2:20" x14ac:dyDescent="0.25">
      <c r="B93" s="158" t="s">
        <v>172</v>
      </c>
      <c r="C93" s="159" t="s">
        <v>173</v>
      </c>
      <c r="D93" s="45" t="s">
        <v>24</v>
      </c>
      <c r="E93" s="45" t="s">
        <v>16</v>
      </c>
      <c r="F93" s="46">
        <v>44691</v>
      </c>
      <c r="G93" s="47">
        <v>1.94</v>
      </c>
      <c r="H93" s="46"/>
      <c r="I93" s="47"/>
      <c r="J93" s="46"/>
      <c r="K93" s="47"/>
      <c r="L93" s="46"/>
      <c r="M93" s="80"/>
      <c r="N93" s="48"/>
      <c r="O93" s="47"/>
      <c r="P93" s="47"/>
      <c r="Q93" s="160">
        <f t="shared" si="48"/>
        <v>0</v>
      </c>
      <c r="R93" s="160">
        <f t="shared" si="49"/>
        <v>1.94</v>
      </c>
      <c r="S93" s="160">
        <f t="shared" si="50"/>
        <v>1.94</v>
      </c>
      <c r="T93" s="49">
        <f t="shared" ref="T93:T175" si="56">G93+I93+K93+M93+O93</f>
        <v>1.94</v>
      </c>
    </row>
    <row r="94" spans="2:20" x14ac:dyDescent="0.25">
      <c r="B94" s="158" t="s">
        <v>857</v>
      </c>
      <c r="C94" s="159" t="s">
        <v>858</v>
      </c>
      <c r="D94" s="45" t="s">
        <v>24</v>
      </c>
      <c r="E94" s="45" t="s">
        <v>16</v>
      </c>
      <c r="F94" s="46">
        <v>44704</v>
      </c>
      <c r="G94" s="47">
        <v>0.17</v>
      </c>
      <c r="H94" s="46"/>
      <c r="I94" s="47"/>
      <c r="J94" s="46"/>
      <c r="K94" s="47"/>
      <c r="L94" s="46"/>
      <c r="M94" s="80"/>
      <c r="N94" s="48"/>
      <c r="O94" s="47"/>
      <c r="P94" s="47"/>
      <c r="Q94" s="160">
        <f t="shared" ref="Q94" si="57">IF(F94&lt;=Exp22Q1,G94,0)+IF(H94&lt;=Exp22Q1,I94,0)+IF(J94&lt;=Exp22Q1,K94,0)+IF(L94&lt;=Exp22Q1,M94,0)+IF(N94&lt;=Exp22Q1,O94,0)</f>
        <v>0</v>
      </c>
      <c r="R94" s="160">
        <f t="shared" ref="R94" si="58">IF(F94&lt;=Exp22H1,G94,0)+IF(H94&lt;=Exp22H1,I94,0)+IF(J94&lt;=Exp22H1,K94,0)+IF(L94&lt;=Exp22H1,M94,0)+IF(N94&lt;=Exp22H1,O94,0)</f>
        <v>0.17</v>
      </c>
      <c r="S94" s="160">
        <f t="shared" ref="S94" si="59">IF(F94&lt;=Exp22Q3,G94,0)+IF(H94&lt;=Exp22Q3,I94,0)+IF(J94&lt;=Exp22Q3,K94,0)+IF(L94&lt;=Exp22Q3,M94,0)+IF(N94&lt;=Exp22Q3,O94,0)</f>
        <v>0.17</v>
      </c>
      <c r="T94" s="49">
        <f t="shared" ref="T94" si="60">G94+I94+K94+M94+O94</f>
        <v>0.17</v>
      </c>
    </row>
    <row r="95" spans="2:20" x14ac:dyDescent="0.25">
      <c r="B95" s="158" t="s">
        <v>894</v>
      </c>
      <c r="C95" s="159" t="s">
        <v>895</v>
      </c>
      <c r="D95" s="45" t="s">
        <v>24</v>
      </c>
      <c r="E95" s="45" t="s">
        <v>16</v>
      </c>
      <c r="F95" s="46">
        <v>44596</v>
      </c>
      <c r="G95" s="47">
        <v>0.32</v>
      </c>
      <c r="H95" s="46"/>
      <c r="I95" s="47"/>
      <c r="J95" s="46"/>
      <c r="K95" s="47"/>
      <c r="L95" s="46"/>
      <c r="M95" s="80"/>
      <c r="N95" s="48"/>
      <c r="O95" s="47"/>
      <c r="P95" s="47"/>
      <c r="Q95" s="160">
        <f t="shared" ref="Q95" si="61">IF(F95&lt;=Exp22Q1,G95,0)+IF(H95&lt;=Exp22Q1,I95,0)+IF(J95&lt;=Exp22Q1,K95,0)+IF(L95&lt;=Exp22Q1,M95,0)+IF(N95&lt;=Exp22Q1,O95,0)</f>
        <v>0.32</v>
      </c>
      <c r="R95" s="160">
        <f t="shared" ref="R95" si="62">IF(F95&lt;=Exp22H1,G95,0)+IF(H95&lt;=Exp22H1,I95,0)+IF(J95&lt;=Exp22H1,K95,0)+IF(L95&lt;=Exp22H1,M95,0)+IF(N95&lt;=Exp22H1,O95,0)</f>
        <v>0.32</v>
      </c>
      <c r="S95" s="160">
        <f t="shared" ref="S95" si="63">IF(F95&lt;=Exp22Q3,G95,0)+IF(H95&lt;=Exp22Q3,I95,0)+IF(J95&lt;=Exp22Q3,K95,0)+IF(L95&lt;=Exp22Q3,M95,0)+IF(N95&lt;=Exp22Q3,O95,0)</f>
        <v>0.32</v>
      </c>
      <c r="T95" s="49">
        <f t="shared" ref="T95" si="64">G95+I95+K95+M95+O95</f>
        <v>0.32</v>
      </c>
    </row>
    <row r="96" spans="2:20" x14ac:dyDescent="0.25">
      <c r="B96" s="117" t="s">
        <v>174</v>
      </c>
      <c r="C96" s="136" t="s">
        <v>175</v>
      </c>
      <c r="D96" s="14" t="s">
        <v>15</v>
      </c>
      <c r="E96" s="14" t="s">
        <v>16</v>
      </c>
      <c r="F96" s="15">
        <v>44701</v>
      </c>
      <c r="G96" s="16">
        <v>0.2</v>
      </c>
      <c r="H96" s="15"/>
      <c r="I96" s="16"/>
      <c r="J96" s="15"/>
      <c r="K96" s="16"/>
      <c r="L96" s="15"/>
      <c r="M96" s="63"/>
      <c r="N96" s="17"/>
      <c r="O96" s="16"/>
      <c r="P96" s="16"/>
      <c r="Q96" s="152">
        <f t="shared" si="48"/>
        <v>0</v>
      </c>
      <c r="R96" s="152">
        <f t="shared" si="49"/>
        <v>0.2</v>
      </c>
      <c r="S96" s="152">
        <f t="shared" si="50"/>
        <v>0.2</v>
      </c>
      <c r="T96" s="18">
        <f t="shared" si="56"/>
        <v>0.2</v>
      </c>
    </row>
    <row r="97" spans="2:20" x14ac:dyDescent="0.25">
      <c r="B97" s="117" t="s">
        <v>176</v>
      </c>
      <c r="C97" s="136" t="s">
        <v>177</v>
      </c>
      <c r="D97" s="14" t="s">
        <v>15</v>
      </c>
      <c r="E97" s="14" t="s">
        <v>16</v>
      </c>
      <c r="F97" s="15">
        <v>44700</v>
      </c>
      <c r="G97" s="16">
        <v>3.2</v>
      </c>
      <c r="H97" s="15"/>
      <c r="I97" s="16"/>
      <c r="J97" s="15"/>
      <c r="K97" s="16"/>
      <c r="L97" s="15"/>
      <c r="M97" s="63"/>
      <c r="N97" s="17"/>
      <c r="O97" s="16"/>
      <c r="P97" s="16"/>
      <c r="Q97" s="152">
        <f t="shared" si="48"/>
        <v>0</v>
      </c>
      <c r="R97" s="152">
        <f t="shared" si="49"/>
        <v>3.2</v>
      </c>
      <c r="S97" s="152">
        <f t="shared" si="50"/>
        <v>3.2</v>
      </c>
      <c r="T97" s="18">
        <f t="shared" si="56"/>
        <v>3.2</v>
      </c>
    </row>
    <row r="98" spans="2:20" x14ac:dyDescent="0.25">
      <c r="B98" s="117" t="s">
        <v>178</v>
      </c>
      <c r="C98" s="136" t="s">
        <v>179</v>
      </c>
      <c r="D98" s="14" t="s">
        <v>15</v>
      </c>
      <c r="E98" s="14" t="s">
        <v>16</v>
      </c>
      <c r="F98" s="15"/>
      <c r="G98" s="16"/>
      <c r="H98" s="15"/>
      <c r="I98" s="16"/>
      <c r="J98" s="15"/>
      <c r="K98" s="16"/>
      <c r="L98" s="15"/>
      <c r="M98" s="63"/>
      <c r="N98" s="17"/>
      <c r="O98" s="16"/>
      <c r="P98" s="16"/>
      <c r="Q98" s="152">
        <f t="shared" si="48"/>
        <v>0</v>
      </c>
      <c r="R98" s="152">
        <f t="shared" si="49"/>
        <v>0</v>
      </c>
      <c r="S98" s="152">
        <f t="shared" si="50"/>
        <v>0</v>
      </c>
      <c r="T98" s="18">
        <f t="shared" si="56"/>
        <v>0</v>
      </c>
    </row>
    <row r="99" spans="2:20" x14ac:dyDescent="0.25">
      <c r="B99" s="117" t="s">
        <v>180</v>
      </c>
      <c r="C99" s="136" t="s">
        <v>181</v>
      </c>
      <c r="D99" s="14" t="s">
        <v>15</v>
      </c>
      <c r="E99" s="14" t="s">
        <v>16</v>
      </c>
      <c r="F99" s="15">
        <v>44690</v>
      </c>
      <c r="G99" s="16">
        <v>1.8</v>
      </c>
      <c r="H99" s="15"/>
      <c r="I99" s="16"/>
      <c r="J99" s="15"/>
      <c r="K99" s="16"/>
      <c r="L99" s="15"/>
      <c r="M99" s="63"/>
      <c r="N99" s="17"/>
      <c r="O99" s="16"/>
      <c r="P99" s="16"/>
      <c r="Q99" s="152">
        <f t="shared" si="48"/>
        <v>0</v>
      </c>
      <c r="R99" s="152">
        <f t="shared" si="49"/>
        <v>1.8</v>
      </c>
      <c r="S99" s="152">
        <f t="shared" si="50"/>
        <v>1.8</v>
      </c>
      <c r="T99" s="18">
        <f t="shared" si="56"/>
        <v>1.8</v>
      </c>
    </row>
    <row r="100" spans="2:20" x14ac:dyDescent="0.25">
      <c r="B100" s="117" t="s">
        <v>182</v>
      </c>
      <c r="C100" s="136" t="s">
        <v>183</v>
      </c>
      <c r="D100" s="14" t="s">
        <v>15</v>
      </c>
      <c r="E100" s="14" t="s">
        <v>16</v>
      </c>
      <c r="F100" s="15">
        <v>44659</v>
      </c>
      <c r="G100" s="16">
        <v>0.64</v>
      </c>
      <c r="H100" s="15"/>
      <c r="I100" s="16"/>
      <c r="J100" s="15"/>
      <c r="K100" s="16"/>
      <c r="L100" s="15"/>
      <c r="M100" s="63"/>
      <c r="N100" s="17"/>
      <c r="O100" s="16"/>
      <c r="P100" s="16"/>
      <c r="Q100" s="152">
        <f t="shared" si="48"/>
        <v>0</v>
      </c>
      <c r="R100" s="152">
        <f t="shared" si="49"/>
        <v>0.64</v>
      </c>
      <c r="S100" s="152">
        <f t="shared" si="50"/>
        <v>0.64</v>
      </c>
      <c r="T100" s="18">
        <f t="shared" si="56"/>
        <v>0.64</v>
      </c>
    </row>
    <row r="101" spans="2:20" x14ac:dyDescent="0.25">
      <c r="B101" s="117" t="s">
        <v>184</v>
      </c>
      <c r="C101" s="136" t="s">
        <v>185</v>
      </c>
      <c r="D101" s="14" t="s">
        <v>15</v>
      </c>
      <c r="E101" s="14" t="s">
        <v>761</v>
      </c>
      <c r="F101" s="15">
        <v>44616</v>
      </c>
      <c r="G101" s="16">
        <v>29.36</v>
      </c>
      <c r="H101" s="15">
        <v>44798</v>
      </c>
      <c r="I101" s="16">
        <v>46.82</v>
      </c>
      <c r="J101" s="15"/>
      <c r="K101" s="16"/>
      <c r="L101" s="15"/>
      <c r="M101" s="63"/>
      <c r="N101" s="17"/>
      <c r="O101" s="16"/>
      <c r="P101" s="16"/>
      <c r="Q101" s="152">
        <f t="shared" si="48"/>
        <v>29.36</v>
      </c>
      <c r="R101" s="152">
        <f t="shared" si="49"/>
        <v>29.36</v>
      </c>
      <c r="S101" s="152">
        <f t="shared" si="50"/>
        <v>76.180000000000007</v>
      </c>
      <c r="T101" s="18">
        <f t="shared" si="56"/>
        <v>76.180000000000007</v>
      </c>
    </row>
    <row r="102" spans="2:20" x14ac:dyDescent="0.25">
      <c r="B102" s="117" t="s">
        <v>781</v>
      </c>
      <c r="C102" s="136" t="s">
        <v>187</v>
      </c>
      <c r="D102" s="14" t="s">
        <v>27</v>
      </c>
      <c r="E102" s="14" t="s">
        <v>16</v>
      </c>
      <c r="F102" s="15">
        <v>44719</v>
      </c>
      <c r="G102" s="16">
        <v>2.1</v>
      </c>
      <c r="H102" s="15"/>
      <c r="I102" s="16"/>
      <c r="J102" s="15"/>
      <c r="K102" s="16"/>
      <c r="L102" s="15"/>
      <c r="M102" s="63"/>
      <c r="N102" s="17"/>
      <c r="O102" s="16"/>
      <c r="P102" s="16"/>
      <c r="Q102" s="152">
        <f t="shared" si="48"/>
        <v>0</v>
      </c>
      <c r="R102" s="152">
        <f t="shared" si="49"/>
        <v>2.1</v>
      </c>
      <c r="S102" s="152">
        <f t="shared" si="50"/>
        <v>2.1</v>
      </c>
      <c r="T102" s="18">
        <f t="shared" si="56"/>
        <v>2.1</v>
      </c>
    </row>
    <row r="103" spans="2:20" x14ac:dyDescent="0.25">
      <c r="B103" s="117" t="s">
        <v>188</v>
      </c>
      <c r="C103" s="136" t="s">
        <v>189</v>
      </c>
      <c r="D103" s="14" t="s">
        <v>15</v>
      </c>
      <c r="E103" s="14" t="s">
        <v>16</v>
      </c>
      <c r="F103" s="15"/>
      <c r="G103" s="16"/>
      <c r="H103" s="15"/>
      <c r="I103" s="16"/>
      <c r="J103" s="15"/>
      <c r="K103" s="16"/>
      <c r="L103" s="15"/>
      <c r="M103" s="63"/>
      <c r="N103" s="17"/>
      <c r="O103" s="16"/>
      <c r="P103" s="16"/>
      <c r="Q103" s="152">
        <f t="shared" si="48"/>
        <v>0</v>
      </c>
      <c r="R103" s="152">
        <f t="shared" si="49"/>
        <v>0</v>
      </c>
      <c r="S103" s="152">
        <f t="shared" si="50"/>
        <v>0</v>
      </c>
      <c r="T103" s="18">
        <f t="shared" si="56"/>
        <v>0</v>
      </c>
    </row>
    <row r="104" spans="2:20" x14ac:dyDescent="0.25">
      <c r="B104" s="117" t="s">
        <v>190</v>
      </c>
      <c r="C104" s="136" t="s">
        <v>191</v>
      </c>
      <c r="D104" s="14" t="s">
        <v>15</v>
      </c>
      <c r="E104" s="14" t="s">
        <v>16</v>
      </c>
      <c r="F104" s="15">
        <v>44693</v>
      </c>
      <c r="G104" s="16">
        <v>1.7</v>
      </c>
      <c r="H104" s="15">
        <v>44777</v>
      </c>
      <c r="I104" s="16">
        <v>0.93</v>
      </c>
      <c r="J104" s="15"/>
      <c r="K104" s="16"/>
      <c r="L104" s="15"/>
      <c r="M104" s="63"/>
      <c r="N104" s="17"/>
      <c r="O104" s="16"/>
      <c r="P104" s="16"/>
      <c r="Q104" s="152">
        <f t="shared" si="48"/>
        <v>0</v>
      </c>
      <c r="R104" s="152">
        <f t="shared" si="49"/>
        <v>1.7</v>
      </c>
      <c r="S104" s="152">
        <f t="shared" si="50"/>
        <v>2.63</v>
      </c>
      <c r="T104" s="18">
        <f t="shared" si="56"/>
        <v>2.63</v>
      </c>
    </row>
    <row r="105" spans="2:20" x14ac:dyDescent="0.25">
      <c r="B105" s="117" t="s">
        <v>747</v>
      </c>
      <c r="C105" s="136" t="s">
        <v>748</v>
      </c>
      <c r="D105" s="14" t="s">
        <v>237</v>
      </c>
      <c r="E105" s="14" t="s">
        <v>16</v>
      </c>
      <c r="F105" s="15">
        <v>44677</v>
      </c>
      <c r="G105" s="16">
        <v>0.19</v>
      </c>
      <c r="H105" s="15"/>
      <c r="I105" s="16"/>
      <c r="J105" s="15"/>
      <c r="K105" s="16"/>
      <c r="L105" s="15"/>
      <c r="M105" s="63"/>
      <c r="N105" s="17"/>
      <c r="O105" s="16"/>
      <c r="P105" s="16"/>
      <c r="Q105" s="152">
        <f t="shared" si="48"/>
        <v>0</v>
      </c>
      <c r="R105" s="152">
        <f t="shared" si="49"/>
        <v>0.19</v>
      </c>
      <c r="S105" s="152">
        <f t="shared" si="50"/>
        <v>0.19</v>
      </c>
      <c r="T105" s="18">
        <f t="shared" si="56"/>
        <v>0.19</v>
      </c>
    </row>
    <row r="106" spans="2:20" x14ac:dyDescent="0.25">
      <c r="B106" s="117" t="s">
        <v>787</v>
      </c>
      <c r="C106" s="136" t="s">
        <v>788</v>
      </c>
      <c r="D106" s="14" t="s">
        <v>237</v>
      </c>
      <c r="E106" s="14" t="s">
        <v>16</v>
      </c>
      <c r="F106" s="15">
        <v>44678</v>
      </c>
      <c r="G106" s="16">
        <v>0.09</v>
      </c>
      <c r="H106" s="15"/>
      <c r="I106" s="16"/>
      <c r="J106" s="15"/>
      <c r="K106" s="16"/>
      <c r="L106" s="15"/>
      <c r="M106" s="63"/>
      <c r="N106" s="17"/>
      <c r="O106" s="16"/>
      <c r="P106" s="16"/>
      <c r="Q106" s="152">
        <f t="shared" si="48"/>
        <v>0</v>
      </c>
      <c r="R106" s="152">
        <f t="shared" si="49"/>
        <v>0.09</v>
      </c>
      <c r="S106" s="152">
        <f t="shared" si="50"/>
        <v>0.09</v>
      </c>
      <c r="T106" s="18">
        <f t="shared" si="56"/>
        <v>0.09</v>
      </c>
    </row>
    <row r="107" spans="2:20" x14ac:dyDescent="0.25">
      <c r="B107" s="117" t="s">
        <v>194</v>
      </c>
      <c r="C107" s="136" t="s">
        <v>195</v>
      </c>
      <c r="D107" s="14" t="s">
        <v>15</v>
      </c>
      <c r="E107" s="14" t="s">
        <v>16</v>
      </c>
      <c r="F107" s="15">
        <v>44694</v>
      </c>
      <c r="G107" s="16">
        <v>0.49</v>
      </c>
      <c r="H107" s="15"/>
      <c r="I107" s="16"/>
      <c r="J107" s="15"/>
      <c r="K107" s="16"/>
      <c r="L107" s="15"/>
      <c r="M107" s="63"/>
      <c r="N107" s="17"/>
      <c r="O107" s="16"/>
      <c r="P107" s="16"/>
      <c r="Q107" s="152">
        <f t="shared" si="48"/>
        <v>0</v>
      </c>
      <c r="R107" s="152">
        <f t="shared" si="49"/>
        <v>0.49</v>
      </c>
      <c r="S107" s="152">
        <f t="shared" si="50"/>
        <v>0.49</v>
      </c>
      <c r="T107" s="18">
        <f t="shared" si="56"/>
        <v>0.49</v>
      </c>
    </row>
    <row r="108" spans="2:20" x14ac:dyDescent="0.25">
      <c r="B108" s="117" t="s">
        <v>196</v>
      </c>
      <c r="C108" s="136" t="s">
        <v>197</v>
      </c>
      <c r="D108" s="14" t="s">
        <v>24</v>
      </c>
      <c r="E108" s="14" t="s">
        <v>16</v>
      </c>
      <c r="F108" s="15">
        <v>44698</v>
      </c>
      <c r="G108" s="16">
        <v>0.28000000000000003</v>
      </c>
      <c r="H108" s="15"/>
      <c r="I108" s="16"/>
      <c r="J108" s="15"/>
      <c r="K108" s="16"/>
      <c r="L108" s="15"/>
      <c r="M108" s="63"/>
      <c r="N108" s="17"/>
      <c r="O108" s="16"/>
      <c r="P108" s="16"/>
      <c r="Q108" s="152">
        <f t="shared" si="48"/>
        <v>0</v>
      </c>
      <c r="R108" s="152">
        <f t="shared" si="49"/>
        <v>0.28000000000000003</v>
      </c>
      <c r="S108" s="152">
        <f t="shared" si="50"/>
        <v>0.28000000000000003</v>
      </c>
      <c r="T108" s="18">
        <f t="shared" si="56"/>
        <v>0.28000000000000003</v>
      </c>
    </row>
    <row r="109" spans="2:20" x14ac:dyDescent="0.25">
      <c r="B109" s="117" t="s">
        <v>198</v>
      </c>
      <c r="C109" s="136" t="s">
        <v>199</v>
      </c>
      <c r="D109" s="14" t="s">
        <v>15</v>
      </c>
      <c r="E109" s="14" t="s">
        <v>200</v>
      </c>
      <c r="F109" s="15">
        <v>44651</v>
      </c>
      <c r="G109" s="16">
        <v>4.5999999999999996</v>
      </c>
      <c r="H109" s="15">
        <v>44833</v>
      </c>
      <c r="I109" s="16">
        <v>4.5999999999999996</v>
      </c>
      <c r="J109" s="15"/>
      <c r="K109" s="16"/>
      <c r="L109" s="15"/>
      <c r="M109" s="63"/>
      <c r="N109" s="17"/>
      <c r="O109" s="16"/>
      <c r="P109" s="16"/>
      <c r="Q109" s="152">
        <f t="shared" si="48"/>
        <v>0</v>
      </c>
      <c r="R109" s="152">
        <f t="shared" si="49"/>
        <v>4.5999999999999996</v>
      </c>
      <c r="S109" s="152">
        <f t="shared" si="50"/>
        <v>4.5999999999999996</v>
      </c>
      <c r="T109" s="18">
        <f t="shared" si="56"/>
        <v>9.1999999999999993</v>
      </c>
    </row>
    <row r="110" spans="2:20" x14ac:dyDescent="0.25">
      <c r="B110" s="117" t="s">
        <v>884</v>
      </c>
      <c r="C110" s="136" t="s">
        <v>202</v>
      </c>
      <c r="D110" s="14" t="s">
        <v>27</v>
      </c>
      <c r="E110" s="14" t="s">
        <v>16</v>
      </c>
      <c r="F110" s="153">
        <v>44711</v>
      </c>
      <c r="G110" s="154">
        <f>1.75*0.9955606</f>
        <v>1.74223105</v>
      </c>
      <c r="H110" s="15"/>
      <c r="I110" s="16"/>
      <c r="J110" s="15"/>
      <c r="K110" s="16"/>
      <c r="L110" s="15"/>
      <c r="M110" s="63"/>
      <c r="N110" s="17"/>
      <c r="O110" s="16"/>
      <c r="P110" s="16"/>
      <c r="Q110" s="152">
        <f t="shared" si="48"/>
        <v>0</v>
      </c>
      <c r="R110" s="152">
        <f t="shared" si="49"/>
        <v>1.74223105</v>
      </c>
      <c r="S110" s="152">
        <f t="shared" si="50"/>
        <v>1.74223105</v>
      </c>
      <c r="T110" s="18">
        <f t="shared" si="56"/>
        <v>1.74223105</v>
      </c>
    </row>
    <row r="111" spans="2:20" x14ac:dyDescent="0.25">
      <c r="B111" s="117" t="s">
        <v>717</v>
      </c>
      <c r="C111" s="136" t="s">
        <v>718</v>
      </c>
      <c r="D111" s="14" t="s">
        <v>24</v>
      </c>
      <c r="E111" s="14" t="s">
        <v>16</v>
      </c>
      <c r="F111" s="15"/>
      <c r="G111" s="16"/>
      <c r="H111" s="15"/>
      <c r="I111" s="16"/>
      <c r="J111" s="15"/>
      <c r="K111" s="16"/>
      <c r="L111" s="15"/>
      <c r="M111" s="63"/>
      <c r="N111" s="17"/>
      <c r="O111" s="16"/>
      <c r="P111" s="16"/>
      <c r="Q111" s="152">
        <f t="shared" si="48"/>
        <v>0</v>
      </c>
      <c r="R111" s="152">
        <f t="shared" si="49"/>
        <v>0</v>
      </c>
      <c r="S111" s="152">
        <f t="shared" si="50"/>
        <v>0</v>
      </c>
      <c r="T111" s="18">
        <f t="shared" si="56"/>
        <v>0</v>
      </c>
    </row>
    <row r="112" spans="2:20" x14ac:dyDescent="0.25">
      <c r="B112" s="117" t="s">
        <v>203</v>
      </c>
      <c r="C112" s="136" t="s">
        <v>204</v>
      </c>
      <c r="D112" s="14" t="s">
        <v>15</v>
      </c>
      <c r="E112" s="14" t="s">
        <v>16</v>
      </c>
      <c r="F112" s="15">
        <v>44658</v>
      </c>
      <c r="G112" s="16">
        <v>2.0499999999999998</v>
      </c>
      <c r="H112" s="15"/>
      <c r="I112" s="16"/>
      <c r="J112" s="15"/>
      <c r="K112" s="16"/>
      <c r="L112" s="15"/>
      <c r="M112" s="63"/>
      <c r="N112" s="17"/>
      <c r="O112" s="16"/>
      <c r="P112" s="16"/>
      <c r="Q112" s="152">
        <f t="shared" si="48"/>
        <v>0</v>
      </c>
      <c r="R112" s="152">
        <f t="shared" si="49"/>
        <v>2.0499999999999998</v>
      </c>
      <c r="S112" s="152">
        <f t="shared" si="50"/>
        <v>2.0499999999999998</v>
      </c>
      <c r="T112" s="18">
        <f t="shared" si="56"/>
        <v>2.0499999999999998</v>
      </c>
    </row>
    <row r="113" spans="2:20" x14ac:dyDescent="0.25">
      <c r="B113" s="117" t="s">
        <v>205</v>
      </c>
      <c r="C113" s="136" t="s">
        <v>206</v>
      </c>
      <c r="D113" s="14" t="s">
        <v>15</v>
      </c>
      <c r="E113" s="14" t="s">
        <v>16</v>
      </c>
      <c r="F113" s="15">
        <v>44747</v>
      </c>
      <c r="G113" s="16">
        <v>1.02</v>
      </c>
      <c r="H113" s="15"/>
      <c r="I113" s="16"/>
      <c r="J113" s="15"/>
      <c r="K113" s="16"/>
      <c r="L113" s="15"/>
      <c r="M113" s="63"/>
      <c r="N113" s="17"/>
      <c r="O113" s="16"/>
      <c r="P113" s="16"/>
      <c r="Q113" s="152">
        <f t="shared" si="48"/>
        <v>0</v>
      </c>
      <c r="R113" s="152">
        <f t="shared" si="49"/>
        <v>0</v>
      </c>
      <c r="S113" s="152">
        <f t="shared" si="50"/>
        <v>1.02</v>
      </c>
      <c r="T113" s="18">
        <f t="shared" si="56"/>
        <v>1.02</v>
      </c>
    </row>
    <row r="114" spans="2:20" x14ac:dyDescent="0.25">
      <c r="B114" s="117" t="s">
        <v>207</v>
      </c>
      <c r="C114" s="136" t="s">
        <v>208</v>
      </c>
      <c r="D114" s="14" t="s">
        <v>15</v>
      </c>
      <c r="E114" s="14" t="s">
        <v>16</v>
      </c>
      <c r="F114" s="15">
        <v>44560</v>
      </c>
      <c r="G114" s="16">
        <v>0.5</v>
      </c>
      <c r="H114" s="15">
        <v>44741</v>
      </c>
      <c r="I114" s="16">
        <v>0.93720000000000003</v>
      </c>
      <c r="J114" s="15"/>
      <c r="K114" s="16"/>
      <c r="L114" s="15"/>
      <c r="M114" s="63"/>
      <c r="N114" s="17"/>
      <c r="O114" s="16"/>
      <c r="P114" s="16"/>
      <c r="Q114" s="152">
        <f t="shared" si="48"/>
        <v>0.5</v>
      </c>
      <c r="R114" s="152">
        <f t="shared" si="49"/>
        <v>0.5</v>
      </c>
      <c r="S114" s="152">
        <f t="shared" si="50"/>
        <v>1.4372</v>
      </c>
      <c r="T114" s="18">
        <f t="shared" si="56"/>
        <v>1.4372</v>
      </c>
    </row>
    <row r="115" spans="2:20" x14ac:dyDescent="0.25">
      <c r="B115" s="117" t="s">
        <v>209</v>
      </c>
      <c r="C115" s="136" t="s">
        <v>210</v>
      </c>
      <c r="D115" s="14" t="s">
        <v>15</v>
      </c>
      <c r="E115" s="14" t="s">
        <v>16</v>
      </c>
      <c r="F115" s="15">
        <v>44585</v>
      </c>
      <c r="G115" s="16">
        <v>0.19</v>
      </c>
      <c r="H115" s="15">
        <v>44760</v>
      </c>
      <c r="I115" s="16">
        <v>0.19</v>
      </c>
      <c r="J115" s="15"/>
      <c r="K115" s="16"/>
      <c r="L115" s="15"/>
      <c r="M115" s="16"/>
      <c r="N115" s="17"/>
      <c r="O115" s="16"/>
      <c r="P115" s="16"/>
      <c r="Q115" s="152">
        <f t="shared" si="48"/>
        <v>0.19</v>
      </c>
      <c r="R115" s="152">
        <f t="shared" si="49"/>
        <v>0.19</v>
      </c>
      <c r="S115" s="152">
        <f t="shared" si="50"/>
        <v>0.38</v>
      </c>
      <c r="T115" s="18">
        <f t="shared" si="56"/>
        <v>0.38</v>
      </c>
    </row>
    <row r="116" spans="2:20" x14ac:dyDescent="0.25">
      <c r="B116" s="117" t="s">
        <v>211</v>
      </c>
      <c r="C116" s="136" t="s">
        <v>212</v>
      </c>
      <c r="D116" s="14" t="s">
        <v>24</v>
      </c>
      <c r="E116" s="14" t="s">
        <v>16</v>
      </c>
      <c r="F116" s="15">
        <v>44676</v>
      </c>
      <c r="G116" s="16">
        <v>0.85</v>
      </c>
      <c r="H116" s="15"/>
      <c r="I116" s="16"/>
      <c r="J116" s="15"/>
      <c r="K116" s="16"/>
      <c r="L116" s="15"/>
      <c r="M116" s="16"/>
      <c r="N116" s="17"/>
      <c r="O116" s="16"/>
      <c r="P116" s="16"/>
      <c r="Q116" s="152">
        <f t="shared" si="48"/>
        <v>0</v>
      </c>
      <c r="R116" s="152">
        <f t="shared" si="49"/>
        <v>0.85</v>
      </c>
      <c r="S116" s="152">
        <f t="shared" si="50"/>
        <v>0.85</v>
      </c>
      <c r="T116" s="18">
        <f t="shared" si="56"/>
        <v>0.85</v>
      </c>
    </row>
    <row r="117" spans="2:20" x14ac:dyDescent="0.25">
      <c r="B117" s="117" t="s">
        <v>213</v>
      </c>
      <c r="C117" s="136" t="s">
        <v>214</v>
      </c>
      <c r="D117" s="14" t="s">
        <v>15</v>
      </c>
      <c r="E117" s="14" t="s">
        <v>16</v>
      </c>
      <c r="F117" s="15">
        <v>44704</v>
      </c>
      <c r="G117" s="16">
        <v>0.43</v>
      </c>
      <c r="H117" s="15">
        <v>44823</v>
      </c>
      <c r="I117" s="16">
        <v>0.22</v>
      </c>
      <c r="J117" s="15">
        <v>44886</v>
      </c>
      <c r="K117" s="16">
        <v>0.22</v>
      </c>
      <c r="L117" s="15"/>
      <c r="M117" s="63"/>
      <c r="N117" s="17"/>
      <c r="O117" s="16"/>
      <c r="P117" s="16"/>
      <c r="Q117" s="152">
        <f t="shared" si="48"/>
        <v>0</v>
      </c>
      <c r="R117" s="152">
        <f t="shared" si="49"/>
        <v>0.43</v>
      </c>
      <c r="S117" s="152">
        <f t="shared" si="50"/>
        <v>0.43</v>
      </c>
      <c r="T117" s="18">
        <f t="shared" si="56"/>
        <v>0.87</v>
      </c>
    </row>
    <row r="118" spans="2:20" x14ac:dyDescent="0.25">
      <c r="B118" s="117" t="s">
        <v>621</v>
      </c>
      <c r="C118" s="136" t="s">
        <v>450</v>
      </c>
      <c r="D118" s="14" t="s">
        <v>15</v>
      </c>
      <c r="E118" s="14" t="s">
        <v>56</v>
      </c>
      <c r="F118" s="153">
        <v>44603</v>
      </c>
      <c r="G118" s="154">
        <f>0.18*0.99411605*0.99449682*0.9855773</f>
        <v>0.17538953698484966</v>
      </c>
      <c r="H118" s="153">
        <v>44693</v>
      </c>
      <c r="I118" s="154">
        <f>0.2*0.99411605*0.99449682*0.9855773</f>
        <v>0.19487726331649965</v>
      </c>
      <c r="J118" s="153">
        <v>44784</v>
      </c>
      <c r="K118" s="154">
        <f>0.2*0.99449682*0.9855773</f>
        <v>0.19603069814283719</v>
      </c>
      <c r="L118" s="153">
        <v>44876</v>
      </c>
      <c r="M118" s="154">
        <f>0.2*0.9855773</f>
        <v>0.19711546000000002</v>
      </c>
      <c r="N118" s="17"/>
      <c r="O118" s="16"/>
      <c r="P118" s="16"/>
      <c r="Q118" s="152">
        <f>IF(F118&lt;=Exp22Q1,G118,0)+IF(H118&lt;=Exp22Q1,I118,0)+IF(J118&lt;=Exp22Q1,K118,0)+IF(L118&lt;=Exp22Q1,M118,0)+IF(N118&lt;=Exp22Q1,O118,0)</f>
        <v>0.17538953698484966</v>
      </c>
      <c r="R118" s="152">
        <f>IF(F118&lt;=Exp22H1,G118,0)+IF(H118&lt;=Exp22H1,I118,0)+IF(J118&lt;=Exp22H1,K118,0)+IF(L118&lt;=Exp22H1,M118,0)+IF(N118&lt;=Exp22H1,O118,0)</f>
        <v>0.37026680030134929</v>
      </c>
      <c r="S118" s="152">
        <f>IF(F118&lt;=Exp22Q3,G118,0)+IF(H118&lt;=Exp22Q3,I118,0)+IF(J118&lt;=Exp22Q3,K118,0)+IF(L118&lt;=Exp22Q3,M118,0)+IF(N118&lt;=Exp22Q3,O118,0)</f>
        <v>0.56629749844418642</v>
      </c>
      <c r="T118" s="18">
        <f>G118+I118+K118+M118+O118</f>
        <v>0.76341295844418644</v>
      </c>
    </row>
    <row r="119" spans="2:20" x14ac:dyDescent="0.25">
      <c r="B119" s="117" t="s">
        <v>215</v>
      </c>
      <c r="C119" s="136" t="s">
        <v>216</v>
      </c>
      <c r="D119" s="14" t="s">
        <v>15</v>
      </c>
      <c r="E119" s="14" t="s">
        <v>200</v>
      </c>
      <c r="F119" s="15">
        <v>44650</v>
      </c>
      <c r="G119" s="16">
        <v>1.25</v>
      </c>
      <c r="H119" s="15">
        <v>44833</v>
      </c>
      <c r="I119" s="16">
        <v>1.25</v>
      </c>
      <c r="J119" s="15"/>
      <c r="K119" s="16"/>
      <c r="L119" s="15"/>
      <c r="M119" s="16"/>
      <c r="N119" s="17"/>
      <c r="O119" s="16"/>
      <c r="P119" s="16"/>
      <c r="Q119" s="152">
        <f t="shared" si="48"/>
        <v>0</v>
      </c>
      <c r="R119" s="152">
        <f t="shared" si="49"/>
        <v>1.25</v>
      </c>
      <c r="S119" s="152">
        <f t="shared" si="50"/>
        <v>1.25</v>
      </c>
      <c r="T119" s="18">
        <f t="shared" si="56"/>
        <v>2.5</v>
      </c>
    </row>
    <row r="120" spans="2:20" x14ac:dyDescent="0.25">
      <c r="B120" s="117" t="s">
        <v>816</v>
      </c>
      <c r="C120" s="136" t="s">
        <v>817</v>
      </c>
      <c r="D120" s="14" t="s">
        <v>15</v>
      </c>
      <c r="E120" s="14" t="s">
        <v>16</v>
      </c>
      <c r="F120" s="15">
        <v>44704</v>
      </c>
      <c r="G120" s="16">
        <v>1.6</v>
      </c>
      <c r="H120" s="15"/>
      <c r="I120" s="16"/>
      <c r="J120" s="15"/>
      <c r="K120" s="16"/>
      <c r="L120" s="15"/>
      <c r="M120" s="63"/>
      <c r="N120" s="17"/>
      <c r="O120" s="16"/>
      <c r="P120" s="16"/>
      <c r="Q120" s="152">
        <f t="shared" si="48"/>
        <v>0</v>
      </c>
      <c r="R120" s="152">
        <f t="shared" si="49"/>
        <v>1.6</v>
      </c>
      <c r="S120" s="152">
        <f t="shared" si="50"/>
        <v>1.6</v>
      </c>
      <c r="T120" s="18">
        <f t="shared" si="56"/>
        <v>1.6</v>
      </c>
    </row>
    <row r="121" spans="2:20" x14ac:dyDescent="0.25">
      <c r="B121" s="117" t="s">
        <v>632</v>
      </c>
      <c r="C121" s="136" t="s">
        <v>218</v>
      </c>
      <c r="D121" s="14" t="s">
        <v>24</v>
      </c>
      <c r="E121" s="14" t="s">
        <v>16</v>
      </c>
      <c r="F121" s="15">
        <v>44711</v>
      </c>
      <c r="G121" s="16">
        <v>2.5099999999999998</v>
      </c>
      <c r="H121" s="15"/>
      <c r="I121" s="16"/>
      <c r="J121" s="15"/>
      <c r="K121" s="16"/>
      <c r="L121" s="15"/>
      <c r="M121" s="63"/>
      <c r="N121" s="17"/>
      <c r="O121" s="16"/>
      <c r="P121" s="16"/>
      <c r="Q121" s="152">
        <f t="shared" si="48"/>
        <v>0</v>
      </c>
      <c r="R121" s="152">
        <f t="shared" si="49"/>
        <v>2.5099999999999998</v>
      </c>
      <c r="S121" s="152">
        <f t="shared" si="50"/>
        <v>2.5099999999999998</v>
      </c>
      <c r="T121" s="18">
        <f t="shared" si="56"/>
        <v>2.5099999999999998</v>
      </c>
    </row>
    <row r="122" spans="2:20" x14ac:dyDescent="0.25">
      <c r="B122" s="117" t="s">
        <v>852</v>
      </c>
      <c r="C122" s="136" t="s">
        <v>846</v>
      </c>
      <c r="D122" s="14" t="s">
        <v>15</v>
      </c>
      <c r="E122" s="14" t="s">
        <v>200</v>
      </c>
      <c r="F122" s="15">
        <v>44645</v>
      </c>
      <c r="G122" s="16">
        <v>7</v>
      </c>
      <c r="H122" s="15"/>
      <c r="I122" s="16"/>
      <c r="J122" s="15"/>
      <c r="K122" s="16"/>
      <c r="L122" s="15"/>
      <c r="M122" s="63"/>
      <c r="N122" s="17"/>
      <c r="O122" s="16"/>
      <c r="P122" s="16"/>
      <c r="Q122" s="152">
        <f t="shared" si="48"/>
        <v>0</v>
      </c>
      <c r="R122" s="152">
        <f t="shared" si="49"/>
        <v>7</v>
      </c>
      <c r="S122" s="152">
        <f t="shared" si="50"/>
        <v>7</v>
      </c>
      <c r="T122" s="18">
        <f t="shared" si="56"/>
        <v>7</v>
      </c>
    </row>
    <row r="123" spans="2:20" x14ac:dyDescent="0.25">
      <c r="B123" s="117" t="s">
        <v>808</v>
      </c>
      <c r="C123" s="136" t="s">
        <v>809</v>
      </c>
      <c r="D123" s="14" t="s">
        <v>714</v>
      </c>
      <c r="E123" s="14" t="s">
        <v>16</v>
      </c>
      <c r="F123" s="15">
        <v>44747</v>
      </c>
      <c r="G123" s="16">
        <v>1</v>
      </c>
      <c r="H123" s="15"/>
      <c r="I123" s="16"/>
      <c r="J123" s="15"/>
      <c r="K123" s="16"/>
      <c r="L123" s="15"/>
      <c r="M123" s="63"/>
      <c r="N123" s="17"/>
      <c r="O123" s="16"/>
      <c r="P123" s="16"/>
      <c r="Q123" s="152">
        <f t="shared" si="48"/>
        <v>0</v>
      </c>
      <c r="R123" s="152">
        <f t="shared" si="49"/>
        <v>0</v>
      </c>
      <c r="S123" s="152">
        <f t="shared" si="50"/>
        <v>1</v>
      </c>
      <c r="T123" s="18">
        <f t="shared" si="56"/>
        <v>1</v>
      </c>
    </row>
    <row r="124" spans="2:20" x14ac:dyDescent="0.25">
      <c r="B124" s="117" t="s">
        <v>873</v>
      </c>
      <c r="C124" s="136" t="s">
        <v>874</v>
      </c>
      <c r="D124" s="14" t="s">
        <v>15</v>
      </c>
      <c r="E124" s="14" t="s">
        <v>16</v>
      </c>
      <c r="F124" s="15">
        <v>44704</v>
      </c>
      <c r="G124" s="16">
        <v>1.93</v>
      </c>
      <c r="H124" s="15"/>
      <c r="I124" s="16"/>
      <c r="J124" s="15"/>
      <c r="K124" s="16"/>
      <c r="L124" s="15"/>
      <c r="M124" s="63"/>
      <c r="N124" s="17"/>
      <c r="O124" s="16"/>
      <c r="P124" s="16"/>
      <c r="Q124" s="152">
        <f t="shared" ref="Q124" si="65">IF(F124&lt;=Exp22Q1,G124,0)+IF(H124&lt;=Exp22Q1,I124,0)+IF(J124&lt;=Exp22Q1,K124,0)+IF(L124&lt;=Exp22Q1,M124,0)+IF(N124&lt;=Exp22Q1,O124,0)</f>
        <v>0</v>
      </c>
      <c r="R124" s="152">
        <f t="shared" ref="R124" si="66">IF(F124&lt;=Exp22H1,G124,0)+IF(H124&lt;=Exp22H1,I124,0)+IF(J124&lt;=Exp22H1,K124,0)+IF(L124&lt;=Exp22H1,M124,0)+IF(N124&lt;=Exp22H1,O124,0)</f>
        <v>1.93</v>
      </c>
      <c r="S124" s="152">
        <f t="shared" ref="S124" si="67">IF(F124&lt;=Exp22Q3,G124,0)+IF(H124&lt;=Exp22Q3,I124,0)+IF(J124&lt;=Exp22Q3,K124,0)+IF(L124&lt;=Exp22Q3,M124,0)+IF(N124&lt;=Exp22Q3,O124,0)</f>
        <v>1.93</v>
      </c>
      <c r="T124" s="18">
        <f t="shared" ref="T124" si="68">G124+I124+K124+M124+O124</f>
        <v>1.93</v>
      </c>
    </row>
    <row r="125" spans="2:20" x14ac:dyDescent="0.25">
      <c r="B125" s="117" t="s">
        <v>219</v>
      </c>
      <c r="C125" s="136" t="s">
        <v>220</v>
      </c>
      <c r="D125" s="14" t="s">
        <v>24</v>
      </c>
      <c r="E125" s="14" t="s">
        <v>16</v>
      </c>
      <c r="F125" s="15">
        <v>44882</v>
      </c>
      <c r="G125" s="16">
        <v>0.93</v>
      </c>
      <c r="H125" s="15"/>
      <c r="I125" s="16"/>
      <c r="J125" s="15"/>
      <c r="K125" s="16"/>
      <c r="L125" s="15"/>
      <c r="M125" s="63"/>
      <c r="N125" s="17"/>
      <c r="O125" s="16"/>
      <c r="P125" s="16"/>
      <c r="Q125" s="152">
        <f t="shared" si="48"/>
        <v>0</v>
      </c>
      <c r="R125" s="152">
        <f t="shared" si="49"/>
        <v>0</v>
      </c>
      <c r="S125" s="152">
        <f t="shared" si="50"/>
        <v>0</v>
      </c>
      <c r="T125" s="18">
        <f t="shared" si="56"/>
        <v>0.93</v>
      </c>
    </row>
    <row r="126" spans="2:20" x14ac:dyDescent="0.25">
      <c r="B126" s="117" t="s">
        <v>851</v>
      </c>
      <c r="C126" s="136" t="s">
        <v>847</v>
      </c>
      <c r="D126" s="14" t="s">
        <v>15</v>
      </c>
      <c r="E126" s="14" t="s">
        <v>16</v>
      </c>
      <c r="F126" s="15">
        <v>44662</v>
      </c>
      <c r="G126" s="16">
        <v>1.42</v>
      </c>
      <c r="H126" s="15"/>
      <c r="I126" s="16"/>
      <c r="J126" s="15"/>
      <c r="K126" s="16"/>
      <c r="L126" s="15"/>
      <c r="M126" s="63"/>
      <c r="N126" s="17"/>
      <c r="O126" s="16"/>
      <c r="P126" s="16"/>
      <c r="Q126" s="152">
        <f t="shared" si="48"/>
        <v>0</v>
      </c>
      <c r="R126" s="152">
        <f t="shared" si="49"/>
        <v>1.42</v>
      </c>
      <c r="S126" s="152">
        <f t="shared" si="50"/>
        <v>1.42</v>
      </c>
      <c r="T126" s="18">
        <f t="shared" si="56"/>
        <v>1.42</v>
      </c>
    </row>
    <row r="127" spans="2:20" x14ac:dyDescent="0.25">
      <c r="B127" s="117" t="s">
        <v>906</v>
      </c>
      <c r="C127" s="136" t="s">
        <v>907</v>
      </c>
      <c r="D127" s="14" t="s">
        <v>15</v>
      </c>
      <c r="E127" s="14" t="s">
        <v>16</v>
      </c>
      <c r="F127" s="15">
        <v>44732</v>
      </c>
      <c r="G127" s="16">
        <v>0.43</v>
      </c>
      <c r="H127" s="15"/>
      <c r="I127" s="16"/>
      <c r="J127" s="15"/>
      <c r="K127" s="16"/>
      <c r="L127" s="15"/>
      <c r="M127" s="63"/>
      <c r="N127" s="17"/>
      <c r="O127" s="16"/>
      <c r="P127" s="16"/>
      <c r="Q127" s="152">
        <f t="shared" ref="Q127" si="69">IF(F127&lt;=Exp22Q1,G127,0)+IF(H127&lt;=Exp22Q1,I127,0)+IF(J127&lt;=Exp22Q1,K127,0)+IF(L127&lt;=Exp22Q1,M127,0)+IF(N127&lt;=Exp22Q1,O127,0)</f>
        <v>0</v>
      </c>
      <c r="R127" s="152">
        <f t="shared" ref="R127" si="70">IF(F127&lt;=Exp22H1,G127,0)+IF(H127&lt;=Exp22H1,I127,0)+IF(J127&lt;=Exp22H1,K127,0)+IF(L127&lt;=Exp22H1,M127,0)+IF(N127&lt;=Exp22H1,O127,0)</f>
        <v>0</v>
      </c>
      <c r="S127" s="152">
        <f t="shared" ref="S127" si="71">IF(F127&lt;=Exp22Q3,G127,0)+IF(H127&lt;=Exp22Q3,I127,0)+IF(J127&lt;=Exp22Q3,K127,0)+IF(L127&lt;=Exp22Q3,M127,0)+IF(N127&lt;=Exp22Q3,O127,0)</f>
        <v>0.43</v>
      </c>
      <c r="T127" s="18">
        <f t="shared" ref="T127" si="72">G127+I127+K127+M127+O127</f>
        <v>0.43</v>
      </c>
    </row>
    <row r="128" spans="2:20" x14ac:dyDescent="0.25">
      <c r="B128" s="117" t="s">
        <v>221</v>
      </c>
      <c r="C128" s="136" t="s">
        <v>222</v>
      </c>
      <c r="D128" s="14" t="s">
        <v>15</v>
      </c>
      <c r="E128" s="14" t="s">
        <v>56</v>
      </c>
      <c r="F128" s="15">
        <v>44567</v>
      </c>
      <c r="G128" s="16">
        <v>0.16</v>
      </c>
      <c r="H128" s="15">
        <v>44735</v>
      </c>
      <c r="I128" s="16">
        <v>0.35749999999999998</v>
      </c>
      <c r="J128" s="15"/>
      <c r="K128" s="16"/>
      <c r="L128" s="15"/>
      <c r="M128" s="63"/>
      <c r="N128" s="17"/>
      <c r="O128" s="16"/>
      <c r="P128" s="16"/>
      <c r="Q128" s="152">
        <f t="shared" si="48"/>
        <v>0.16</v>
      </c>
      <c r="R128" s="152">
        <f t="shared" si="49"/>
        <v>0.16</v>
      </c>
      <c r="S128" s="152">
        <f t="shared" si="50"/>
        <v>0.51749999999999996</v>
      </c>
      <c r="T128" s="18">
        <f t="shared" si="56"/>
        <v>0.51749999999999996</v>
      </c>
    </row>
    <row r="129" spans="2:20" x14ac:dyDescent="0.25">
      <c r="B129" s="117" t="s">
        <v>225</v>
      </c>
      <c r="C129" s="136" t="s">
        <v>226</v>
      </c>
      <c r="D129" s="14" t="s">
        <v>15</v>
      </c>
      <c r="E129" s="14" t="s">
        <v>16</v>
      </c>
      <c r="F129" s="15">
        <v>44692</v>
      </c>
      <c r="G129" s="16">
        <v>0.27800000000000002</v>
      </c>
      <c r="H129" s="15">
        <v>44868</v>
      </c>
      <c r="I129" s="16">
        <v>0.41399999999999998</v>
      </c>
      <c r="J129" s="15"/>
      <c r="K129" s="16"/>
      <c r="L129" s="15"/>
      <c r="M129" s="63"/>
      <c r="N129" s="17"/>
      <c r="O129" s="16"/>
      <c r="P129" s="16"/>
      <c r="Q129" s="152">
        <f t="shared" si="48"/>
        <v>0</v>
      </c>
      <c r="R129" s="152">
        <f t="shared" si="49"/>
        <v>0.27800000000000002</v>
      </c>
      <c r="S129" s="152">
        <f t="shared" si="50"/>
        <v>0.27800000000000002</v>
      </c>
      <c r="T129" s="18">
        <f t="shared" si="56"/>
        <v>0.69199999999999995</v>
      </c>
    </row>
    <row r="130" spans="2:20" x14ac:dyDescent="0.25">
      <c r="B130" s="117" t="s">
        <v>801</v>
      </c>
      <c r="C130" s="136" t="s">
        <v>802</v>
      </c>
      <c r="D130" s="14" t="s">
        <v>15</v>
      </c>
      <c r="E130" s="14" t="s">
        <v>16</v>
      </c>
      <c r="F130" s="15">
        <v>44704</v>
      </c>
      <c r="G130" s="16">
        <v>0.39</v>
      </c>
      <c r="H130" s="15"/>
      <c r="I130" s="16"/>
      <c r="J130" s="15"/>
      <c r="K130" s="16"/>
      <c r="L130" s="15"/>
      <c r="M130" s="63"/>
      <c r="N130" s="17"/>
      <c r="O130" s="16"/>
      <c r="P130" s="16"/>
      <c r="Q130" s="152">
        <f t="shared" si="48"/>
        <v>0</v>
      </c>
      <c r="R130" s="152">
        <f t="shared" si="49"/>
        <v>0.39</v>
      </c>
      <c r="S130" s="152">
        <f t="shared" si="50"/>
        <v>0.39</v>
      </c>
      <c r="T130" s="18">
        <f t="shared" si="56"/>
        <v>0.39</v>
      </c>
    </row>
    <row r="131" spans="2:20" x14ac:dyDescent="0.25">
      <c r="B131" s="117" t="s">
        <v>810</v>
      </c>
      <c r="C131" s="136" t="s">
        <v>811</v>
      </c>
      <c r="D131" s="14" t="s">
        <v>15</v>
      </c>
      <c r="E131" s="14" t="s">
        <v>16</v>
      </c>
      <c r="F131" s="15">
        <v>44684</v>
      </c>
      <c r="G131" s="16">
        <v>0.35</v>
      </c>
      <c r="H131" s="15">
        <v>44789</v>
      </c>
      <c r="I131" s="16">
        <v>0.7</v>
      </c>
      <c r="J131" s="15"/>
      <c r="K131" s="16"/>
      <c r="L131" s="15"/>
      <c r="M131" s="63"/>
      <c r="N131" s="17"/>
      <c r="O131" s="16"/>
      <c r="P131" s="16"/>
      <c r="Q131" s="152">
        <f t="shared" si="48"/>
        <v>0</v>
      </c>
      <c r="R131" s="152">
        <f t="shared" si="49"/>
        <v>0.35</v>
      </c>
      <c r="S131" s="152">
        <f t="shared" si="50"/>
        <v>1.0499999999999998</v>
      </c>
      <c r="T131" s="18">
        <f t="shared" si="56"/>
        <v>1.0499999999999998</v>
      </c>
    </row>
    <row r="132" spans="2:20" x14ac:dyDescent="0.25">
      <c r="B132" s="117" t="s">
        <v>229</v>
      </c>
      <c r="C132" s="136" t="s">
        <v>230</v>
      </c>
      <c r="D132" s="14" t="s">
        <v>15</v>
      </c>
      <c r="E132" s="14" t="s">
        <v>16</v>
      </c>
      <c r="F132" s="15">
        <v>44649</v>
      </c>
      <c r="G132" s="16">
        <v>1.1399999999999999</v>
      </c>
      <c r="H132" s="15"/>
      <c r="I132" s="16"/>
      <c r="J132" s="15"/>
      <c r="K132" s="16"/>
      <c r="L132" s="15"/>
      <c r="M132" s="63"/>
      <c r="N132" s="17"/>
      <c r="O132" s="16"/>
      <c r="P132" s="16"/>
      <c r="Q132" s="152">
        <f t="shared" si="48"/>
        <v>0</v>
      </c>
      <c r="R132" s="152">
        <f t="shared" si="49"/>
        <v>1.1399999999999999</v>
      </c>
      <c r="S132" s="152">
        <f t="shared" si="50"/>
        <v>1.1399999999999999</v>
      </c>
      <c r="T132" s="18">
        <f t="shared" si="56"/>
        <v>1.1399999999999999</v>
      </c>
    </row>
    <row r="133" spans="2:20" x14ac:dyDescent="0.25">
      <c r="B133" s="117" t="s">
        <v>231</v>
      </c>
      <c r="C133" s="136" t="s">
        <v>232</v>
      </c>
      <c r="D133" s="14" t="s">
        <v>15</v>
      </c>
      <c r="E133" s="14" t="s">
        <v>16</v>
      </c>
      <c r="F133" s="46">
        <v>44697</v>
      </c>
      <c r="G133" s="47">
        <v>0.92</v>
      </c>
      <c r="H133" s="46"/>
      <c r="I133" s="47"/>
      <c r="J133" s="46"/>
      <c r="K133" s="47"/>
      <c r="L133" s="46"/>
      <c r="M133" s="80"/>
      <c r="N133" s="48"/>
      <c r="O133" s="47"/>
      <c r="P133" s="47"/>
      <c r="Q133" s="152">
        <f t="shared" si="48"/>
        <v>0</v>
      </c>
      <c r="R133" s="152">
        <f t="shared" si="49"/>
        <v>0.92</v>
      </c>
      <c r="S133" s="152">
        <f t="shared" si="50"/>
        <v>0.92</v>
      </c>
      <c r="T133" s="18">
        <f t="shared" si="56"/>
        <v>0.92</v>
      </c>
    </row>
    <row r="134" spans="2:20" x14ac:dyDescent="0.25">
      <c r="B134" s="117" t="s">
        <v>867</v>
      </c>
      <c r="C134" s="136" t="s">
        <v>868</v>
      </c>
      <c r="D134" s="14" t="s">
        <v>15</v>
      </c>
      <c r="E134" s="14" t="s">
        <v>16</v>
      </c>
      <c r="F134" s="46">
        <v>44694</v>
      </c>
      <c r="G134" s="47">
        <v>1.35</v>
      </c>
      <c r="H134" s="46"/>
      <c r="I134" s="47"/>
      <c r="J134" s="46"/>
      <c r="K134" s="47"/>
      <c r="L134" s="46"/>
      <c r="M134" s="80"/>
      <c r="N134" s="48"/>
      <c r="O134" s="47"/>
      <c r="P134" s="47"/>
      <c r="Q134" s="152">
        <f t="shared" ref="Q134" si="73">IF(F134&lt;=Exp22Q1,G134,0)+IF(H134&lt;=Exp22Q1,I134,0)+IF(J134&lt;=Exp22Q1,K134,0)+IF(L134&lt;=Exp22Q1,M134,0)+IF(N134&lt;=Exp22Q1,O134,0)</f>
        <v>0</v>
      </c>
      <c r="R134" s="152">
        <f t="shared" ref="R134" si="74">IF(F134&lt;=Exp22H1,G134,0)+IF(H134&lt;=Exp22H1,I134,0)+IF(J134&lt;=Exp22H1,K134,0)+IF(L134&lt;=Exp22H1,M134,0)+IF(N134&lt;=Exp22H1,O134,0)</f>
        <v>1.35</v>
      </c>
      <c r="S134" s="152">
        <f t="shared" ref="S134" si="75">IF(F134&lt;=Exp22Q3,G134,0)+IF(H134&lt;=Exp22Q3,I134,0)+IF(J134&lt;=Exp22Q3,K134,0)+IF(L134&lt;=Exp22Q3,M134,0)+IF(N134&lt;=Exp22Q3,O134,0)</f>
        <v>1.35</v>
      </c>
      <c r="T134" s="18">
        <f t="shared" ref="T134" si="76">G134+I134+K134+M134+O134</f>
        <v>1.35</v>
      </c>
    </row>
    <row r="135" spans="2:20" x14ac:dyDescent="0.25">
      <c r="B135" s="117" t="s">
        <v>796</v>
      </c>
      <c r="C135" s="136" t="s">
        <v>797</v>
      </c>
      <c r="D135" s="14" t="s">
        <v>15</v>
      </c>
      <c r="E135" s="14" t="s">
        <v>56</v>
      </c>
      <c r="F135" s="46">
        <v>44819</v>
      </c>
      <c r="G135" s="47">
        <v>0.15</v>
      </c>
      <c r="H135" s="46"/>
      <c r="I135" s="47"/>
      <c r="J135" s="46"/>
      <c r="K135" s="47"/>
      <c r="L135" s="46"/>
      <c r="M135" s="80"/>
      <c r="N135" s="48"/>
      <c r="O135" s="47"/>
      <c r="P135" s="47"/>
      <c r="Q135" s="152">
        <f t="shared" si="48"/>
        <v>0</v>
      </c>
      <c r="R135" s="152">
        <f t="shared" si="49"/>
        <v>0</v>
      </c>
      <c r="S135" s="152">
        <f t="shared" si="50"/>
        <v>0.15</v>
      </c>
      <c r="T135" s="18">
        <f t="shared" si="56"/>
        <v>0.15</v>
      </c>
    </row>
    <row r="136" spans="2:20" x14ac:dyDescent="0.25">
      <c r="B136" s="117" t="s">
        <v>233</v>
      </c>
      <c r="C136" s="136" t="s">
        <v>234</v>
      </c>
      <c r="D136" s="14" t="s">
        <v>15</v>
      </c>
      <c r="E136" s="14" t="s">
        <v>16</v>
      </c>
      <c r="F136" s="46"/>
      <c r="G136" s="47"/>
      <c r="H136" s="46"/>
      <c r="I136" s="47"/>
      <c r="J136" s="46"/>
      <c r="K136" s="47"/>
      <c r="L136" s="46"/>
      <c r="M136" s="80"/>
      <c r="N136" s="48"/>
      <c r="O136" s="47"/>
      <c r="P136" s="47"/>
      <c r="Q136" s="152">
        <f t="shared" si="48"/>
        <v>0</v>
      </c>
      <c r="R136" s="152">
        <f t="shared" si="49"/>
        <v>0</v>
      </c>
      <c r="S136" s="152">
        <f t="shared" si="50"/>
        <v>0</v>
      </c>
      <c r="T136" s="18">
        <f t="shared" si="56"/>
        <v>0</v>
      </c>
    </row>
    <row r="137" spans="2:20" x14ac:dyDescent="0.25">
      <c r="B137" s="117" t="s">
        <v>235</v>
      </c>
      <c r="C137" s="136" t="s">
        <v>236</v>
      </c>
      <c r="D137" s="14" t="s">
        <v>237</v>
      </c>
      <c r="E137" s="14" t="s">
        <v>16</v>
      </c>
      <c r="F137" s="15">
        <v>44687</v>
      </c>
      <c r="G137" s="16">
        <v>0.25</v>
      </c>
      <c r="H137" s="15">
        <v>44820</v>
      </c>
      <c r="I137" s="16">
        <v>0.26</v>
      </c>
      <c r="J137" s="15"/>
      <c r="K137" s="16"/>
      <c r="L137" s="15"/>
      <c r="M137" s="63"/>
      <c r="N137" s="17"/>
      <c r="O137" s="16"/>
      <c r="P137" s="16"/>
      <c r="Q137" s="152">
        <f t="shared" si="48"/>
        <v>0</v>
      </c>
      <c r="R137" s="152">
        <f t="shared" si="49"/>
        <v>0.25</v>
      </c>
      <c r="S137" s="152">
        <f t="shared" si="50"/>
        <v>0.51</v>
      </c>
      <c r="T137" s="18">
        <f t="shared" si="56"/>
        <v>0.51</v>
      </c>
    </row>
    <row r="138" spans="2:20" x14ac:dyDescent="0.25">
      <c r="B138" s="117" t="s">
        <v>623</v>
      </c>
      <c r="C138" s="136" t="s">
        <v>239</v>
      </c>
      <c r="D138" s="14" t="s">
        <v>15</v>
      </c>
      <c r="E138" s="14" t="s">
        <v>16</v>
      </c>
      <c r="F138" s="15">
        <v>44638</v>
      </c>
      <c r="G138" s="16">
        <v>0.5</v>
      </c>
      <c r="H138" s="15">
        <v>44789</v>
      </c>
      <c r="I138" s="16">
        <v>0.3</v>
      </c>
      <c r="J138" s="15">
        <v>44881</v>
      </c>
      <c r="K138" s="16">
        <v>0.4</v>
      </c>
      <c r="L138" s="15"/>
      <c r="M138" s="63"/>
      <c r="N138" s="17"/>
      <c r="O138" s="16"/>
      <c r="P138" s="16"/>
      <c r="Q138" s="152">
        <f t="shared" si="48"/>
        <v>0.5</v>
      </c>
      <c r="R138" s="152">
        <f t="shared" si="49"/>
        <v>0.5</v>
      </c>
      <c r="S138" s="152">
        <f t="shared" si="50"/>
        <v>0.8</v>
      </c>
      <c r="T138" s="18">
        <f t="shared" si="56"/>
        <v>1.2000000000000002</v>
      </c>
    </row>
    <row r="139" spans="2:20" x14ac:dyDescent="0.25">
      <c r="B139" s="117" t="s">
        <v>242</v>
      </c>
      <c r="C139" s="136" t="s">
        <v>243</v>
      </c>
      <c r="D139" s="14" t="s">
        <v>15</v>
      </c>
      <c r="E139" s="14" t="s">
        <v>21</v>
      </c>
      <c r="F139" s="15">
        <v>44670</v>
      </c>
      <c r="G139" s="16">
        <v>12.5</v>
      </c>
      <c r="H139" s="15"/>
      <c r="I139" s="16"/>
      <c r="J139" s="15"/>
      <c r="K139" s="16"/>
      <c r="L139" s="15"/>
      <c r="M139" s="63"/>
      <c r="N139" s="17"/>
      <c r="O139" s="16"/>
      <c r="P139" s="16"/>
      <c r="Q139" s="152">
        <f t="shared" si="48"/>
        <v>0</v>
      </c>
      <c r="R139" s="152">
        <f t="shared" si="49"/>
        <v>12.5</v>
      </c>
      <c r="S139" s="152">
        <f t="shared" si="50"/>
        <v>12.5</v>
      </c>
      <c r="T139" s="18">
        <f t="shared" si="56"/>
        <v>12.5</v>
      </c>
    </row>
    <row r="140" spans="2:20" x14ac:dyDescent="0.25">
      <c r="B140" s="117" t="s">
        <v>825</v>
      </c>
      <c r="C140" s="136" t="s">
        <v>824</v>
      </c>
      <c r="D140" s="14" t="s">
        <v>15</v>
      </c>
      <c r="E140" s="14" t="s">
        <v>200</v>
      </c>
      <c r="F140" s="15">
        <v>44678</v>
      </c>
      <c r="G140" s="16">
        <v>4</v>
      </c>
      <c r="H140" s="15"/>
      <c r="I140" s="16"/>
      <c r="J140" s="15"/>
      <c r="K140" s="16"/>
      <c r="L140" s="15"/>
      <c r="M140" s="63"/>
      <c r="N140" s="17"/>
      <c r="O140" s="16"/>
      <c r="P140" s="16"/>
      <c r="Q140" s="152">
        <f t="shared" ref="Q140" si="77">IF(F140&lt;=Exp22Q1,G140,0)+IF(H140&lt;=Exp22Q1,I140,0)+IF(J140&lt;=Exp22Q1,K140,0)+IF(L140&lt;=Exp22Q1,M140,0)+IF(N140&lt;=Exp22Q1,O140,0)</f>
        <v>0</v>
      </c>
      <c r="R140" s="152">
        <f t="shared" ref="R140" si="78">IF(F140&lt;=Exp22H1,G140,0)+IF(H140&lt;=Exp22H1,I140,0)+IF(J140&lt;=Exp22H1,K140,0)+IF(L140&lt;=Exp22H1,M140,0)+IF(N140&lt;=Exp22H1,O140,0)</f>
        <v>4</v>
      </c>
      <c r="S140" s="152">
        <f t="shared" ref="S140" si="79">IF(F140&lt;=Exp22Q3,G140,0)+IF(H140&lt;=Exp22Q3,I140,0)+IF(J140&lt;=Exp22Q3,K140,0)+IF(L140&lt;=Exp22Q3,M140,0)+IF(N140&lt;=Exp22Q3,O140,0)</f>
        <v>4</v>
      </c>
      <c r="T140" s="18">
        <f t="shared" ref="T140" si="80">G140+I140+K140+M140+O140</f>
        <v>4</v>
      </c>
    </row>
    <row r="141" spans="2:20" x14ac:dyDescent="0.25">
      <c r="B141" s="117" t="s">
        <v>248</v>
      </c>
      <c r="C141" s="136" t="s">
        <v>249</v>
      </c>
      <c r="D141" s="14" t="s">
        <v>15</v>
      </c>
      <c r="E141" s="14" t="s">
        <v>21</v>
      </c>
      <c r="F141" s="15">
        <v>44648</v>
      </c>
      <c r="G141" s="16">
        <v>66</v>
      </c>
      <c r="H141" s="15"/>
      <c r="I141" s="16"/>
      <c r="J141" s="15"/>
      <c r="K141" s="16"/>
      <c r="L141" s="15"/>
      <c r="M141" s="16"/>
      <c r="N141" s="17"/>
      <c r="O141" s="16"/>
      <c r="P141" s="16"/>
      <c r="Q141" s="152">
        <f t="shared" si="48"/>
        <v>0</v>
      </c>
      <c r="R141" s="152">
        <f t="shared" si="49"/>
        <v>66</v>
      </c>
      <c r="S141" s="152">
        <f t="shared" si="50"/>
        <v>66</v>
      </c>
      <c r="T141" s="18">
        <f t="shared" si="56"/>
        <v>66</v>
      </c>
    </row>
    <row r="142" spans="2:20" x14ac:dyDescent="0.25">
      <c r="B142" s="117" t="s">
        <v>883</v>
      </c>
      <c r="C142" s="136" t="s">
        <v>251</v>
      </c>
      <c r="D142" s="14" t="s">
        <v>15</v>
      </c>
      <c r="E142" s="14" t="s">
        <v>761</v>
      </c>
      <c r="F142" s="153">
        <v>44616</v>
      </c>
      <c r="G142" s="154">
        <f>23*1.25</f>
        <v>28.75</v>
      </c>
      <c r="H142" s="153">
        <v>44700</v>
      </c>
      <c r="I142" s="154">
        <f>14*1.25</f>
        <v>17.5</v>
      </c>
      <c r="J142" s="15">
        <v>44791</v>
      </c>
      <c r="K142" s="16">
        <v>16.25</v>
      </c>
      <c r="L142" s="15">
        <v>44882</v>
      </c>
      <c r="M142" s="63">
        <v>13.75</v>
      </c>
      <c r="N142" s="17"/>
      <c r="O142" s="16"/>
      <c r="P142" s="16"/>
      <c r="Q142" s="152">
        <f t="shared" si="48"/>
        <v>28.75</v>
      </c>
      <c r="R142" s="152">
        <f t="shared" si="49"/>
        <v>46.25</v>
      </c>
      <c r="S142" s="152">
        <f t="shared" si="50"/>
        <v>62.5</v>
      </c>
      <c r="T142" s="18">
        <f t="shared" si="56"/>
        <v>76.25</v>
      </c>
    </row>
    <row r="143" spans="2:20" x14ac:dyDescent="0.25">
      <c r="B143" s="117" t="s">
        <v>252</v>
      </c>
      <c r="C143" s="136" t="s">
        <v>253</v>
      </c>
      <c r="D143" s="14" t="s">
        <v>15</v>
      </c>
      <c r="E143" s="14" t="s">
        <v>56</v>
      </c>
      <c r="F143" s="153">
        <v>44672</v>
      </c>
      <c r="G143" s="154">
        <f>0.13*0.97952059</f>
        <v>0.12733767670000001</v>
      </c>
      <c r="H143" s="153">
        <v>44805</v>
      </c>
      <c r="I143" s="154">
        <f>0.13*0.97952059</f>
        <v>0.12733767670000001</v>
      </c>
      <c r="J143" s="15"/>
      <c r="K143" s="15"/>
      <c r="L143" s="15"/>
      <c r="M143" s="63"/>
      <c r="N143" s="17"/>
      <c r="O143" s="16"/>
      <c r="P143" s="16"/>
      <c r="Q143" s="152">
        <f t="shared" si="48"/>
        <v>0</v>
      </c>
      <c r="R143" s="152">
        <f t="shared" si="49"/>
        <v>0.12733767670000001</v>
      </c>
      <c r="S143" s="152">
        <f t="shared" si="50"/>
        <v>0.25467535340000003</v>
      </c>
      <c r="T143" s="18">
        <f t="shared" si="56"/>
        <v>0.25467535340000003</v>
      </c>
    </row>
    <row r="144" spans="2:20" x14ac:dyDescent="0.25">
      <c r="B144" s="117" t="s">
        <v>254</v>
      </c>
      <c r="C144" s="136" t="s">
        <v>255</v>
      </c>
      <c r="D144" s="14" t="s">
        <v>27</v>
      </c>
      <c r="E144" s="14" t="s">
        <v>16</v>
      </c>
      <c r="F144" s="15">
        <v>44684</v>
      </c>
      <c r="G144" s="16">
        <v>2.75</v>
      </c>
      <c r="H144" s="15"/>
      <c r="I144" s="16"/>
      <c r="J144" s="15"/>
      <c r="K144" s="16"/>
      <c r="L144" s="15"/>
      <c r="M144" s="63"/>
      <c r="N144" s="17"/>
      <c r="O144" s="16"/>
      <c r="P144" s="16"/>
      <c r="Q144" s="152">
        <f t="shared" si="48"/>
        <v>0</v>
      </c>
      <c r="R144" s="152">
        <f t="shared" si="49"/>
        <v>2.75</v>
      </c>
      <c r="S144" s="152">
        <f t="shared" si="50"/>
        <v>2.75</v>
      </c>
      <c r="T144" s="18">
        <f t="shared" si="56"/>
        <v>2.75</v>
      </c>
    </row>
    <row r="145" spans="2:20" x14ac:dyDescent="0.25">
      <c r="B145" s="117" t="s">
        <v>869</v>
      </c>
      <c r="C145" s="136" t="s">
        <v>870</v>
      </c>
      <c r="D145" s="39" t="s">
        <v>15</v>
      </c>
      <c r="E145" s="39" t="s">
        <v>16</v>
      </c>
      <c r="F145" s="15">
        <v>44694</v>
      </c>
      <c r="G145" s="16">
        <v>2.4</v>
      </c>
      <c r="H145" s="15"/>
      <c r="I145" s="16"/>
      <c r="J145" s="15"/>
      <c r="K145" s="16"/>
      <c r="L145" s="15"/>
      <c r="M145" s="63"/>
      <c r="N145" s="17"/>
      <c r="O145" s="16"/>
      <c r="P145" s="16"/>
      <c r="Q145" s="152">
        <f t="shared" ref="Q145" si="81">IF(F145&lt;=Exp22Q1,G145,0)+IF(H145&lt;=Exp22Q1,I145,0)+IF(J145&lt;=Exp22Q1,K145,0)+IF(L145&lt;=Exp22Q1,M145,0)+IF(N145&lt;=Exp22Q1,O145,0)</f>
        <v>0</v>
      </c>
      <c r="R145" s="152">
        <f t="shared" ref="R145" si="82">IF(F145&lt;=Exp22H1,G145,0)+IF(H145&lt;=Exp22H1,I145,0)+IF(J145&lt;=Exp22H1,K145,0)+IF(L145&lt;=Exp22H1,M145,0)+IF(N145&lt;=Exp22H1,O145,0)</f>
        <v>2.4</v>
      </c>
      <c r="S145" s="152">
        <f t="shared" ref="S145" si="83">IF(F145&lt;=Exp22Q3,G145,0)+IF(H145&lt;=Exp22Q3,I145,0)+IF(J145&lt;=Exp22Q3,K145,0)+IF(L145&lt;=Exp22Q3,M145,0)+IF(N145&lt;=Exp22Q3,O145,0)</f>
        <v>2.4</v>
      </c>
      <c r="T145" s="18">
        <f t="shared" ref="T145" si="84">G145+I145+K145+M145+O145</f>
        <v>2.4</v>
      </c>
    </row>
    <row r="146" spans="2:20" x14ac:dyDescent="0.25">
      <c r="B146" s="117" t="s">
        <v>256</v>
      </c>
      <c r="C146" s="136" t="s">
        <v>257</v>
      </c>
      <c r="D146" s="39" t="s">
        <v>15</v>
      </c>
      <c r="E146" s="39" t="s">
        <v>16</v>
      </c>
      <c r="F146" s="15">
        <v>44676</v>
      </c>
      <c r="G146" s="16">
        <v>0.96</v>
      </c>
      <c r="H146" s="15">
        <v>44776</v>
      </c>
      <c r="I146" s="16">
        <v>0.5</v>
      </c>
      <c r="J146" s="15"/>
      <c r="K146" s="16"/>
      <c r="L146" s="15"/>
      <c r="M146" s="63"/>
      <c r="N146" s="17"/>
      <c r="O146" s="16"/>
      <c r="P146" s="16"/>
      <c r="Q146" s="152">
        <f t="shared" si="48"/>
        <v>0</v>
      </c>
      <c r="R146" s="152">
        <f t="shared" si="49"/>
        <v>0.96</v>
      </c>
      <c r="S146" s="152">
        <f t="shared" si="50"/>
        <v>1.46</v>
      </c>
      <c r="T146" s="18">
        <f t="shared" si="56"/>
        <v>1.46</v>
      </c>
    </row>
    <row r="147" spans="2:20" x14ac:dyDescent="0.25">
      <c r="B147" s="117" t="s">
        <v>258</v>
      </c>
      <c r="C147" s="136" t="s">
        <v>259</v>
      </c>
      <c r="D147" s="14" t="s">
        <v>15</v>
      </c>
      <c r="E147" s="14" t="s">
        <v>16</v>
      </c>
      <c r="F147" s="15">
        <v>44656</v>
      </c>
      <c r="G147" s="16">
        <v>1.85</v>
      </c>
      <c r="H147" s="15"/>
      <c r="I147" s="16"/>
      <c r="J147" s="15"/>
      <c r="K147" s="16"/>
      <c r="L147" s="15"/>
      <c r="M147" s="16"/>
      <c r="N147" s="17"/>
      <c r="O147" s="16"/>
      <c r="P147" s="16"/>
      <c r="Q147" s="152">
        <f t="shared" si="48"/>
        <v>0</v>
      </c>
      <c r="R147" s="152">
        <f t="shared" si="49"/>
        <v>1.85</v>
      </c>
      <c r="S147" s="152">
        <f t="shared" si="50"/>
        <v>1.85</v>
      </c>
      <c r="T147" s="18">
        <f t="shared" si="56"/>
        <v>1.85</v>
      </c>
    </row>
    <row r="148" spans="2:20" x14ac:dyDescent="0.25">
      <c r="B148" s="117" t="s">
        <v>260</v>
      </c>
      <c r="C148" s="136" t="s">
        <v>261</v>
      </c>
      <c r="D148" s="14" t="s">
        <v>15</v>
      </c>
      <c r="E148" s="14" t="s">
        <v>200</v>
      </c>
      <c r="F148" s="15">
        <v>44686</v>
      </c>
      <c r="G148" s="16">
        <v>3.25</v>
      </c>
      <c r="H148" s="15">
        <v>44875</v>
      </c>
      <c r="I148" s="16">
        <v>3.25</v>
      </c>
      <c r="J148" s="15"/>
      <c r="K148" s="16"/>
      <c r="L148" s="15"/>
      <c r="M148" s="63"/>
      <c r="N148" s="17"/>
      <c r="O148" s="16"/>
      <c r="P148" s="16"/>
      <c r="Q148" s="152">
        <f t="shared" si="48"/>
        <v>0</v>
      </c>
      <c r="R148" s="152">
        <f t="shared" si="49"/>
        <v>3.25</v>
      </c>
      <c r="S148" s="152">
        <f t="shared" si="50"/>
        <v>3.25</v>
      </c>
      <c r="T148" s="18">
        <f t="shared" si="56"/>
        <v>6.5</v>
      </c>
    </row>
    <row r="149" spans="2:20" x14ac:dyDescent="0.25">
      <c r="B149" s="117" t="s">
        <v>626</v>
      </c>
      <c r="C149" s="136" t="s">
        <v>627</v>
      </c>
      <c r="D149" s="14" t="s">
        <v>24</v>
      </c>
      <c r="E149" s="14" t="s">
        <v>16</v>
      </c>
      <c r="F149" s="15">
        <v>44613</v>
      </c>
      <c r="G149" s="16">
        <v>2.5</v>
      </c>
      <c r="H149" s="15">
        <v>44676</v>
      </c>
      <c r="I149" s="16">
        <v>5.5</v>
      </c>
      <c r="J149" s="15"/>
      <c r="K149" s="16"/>
      <c r="L149" s="15"/>
      <c r="M149" s="63"/>
      <c r="N149" s="17"/>
      <c r="O149" s="16"/>
      <c r="P149" s="16"/>
      <c r="Q149" s="152">
        <f t="shared" si="48"/>
        <v>2.5</v>
      </c>
      <c r="R149" s="152">
        <f t="shared" si="49"/>
        <v>8</v>
      </c>
      <c r="S149" s="152">
        <f t="shared" si="50"/>
        <v>8</v>
      </c>
      <c r="T149" s="18">
        <f t="shared" si="56"/>
        <v>8</v>
      </c>
    </row>
    <row r="150" spans="2:20" x14ac:dyDescent="0.25">
      <c r="B150" s="117" t="s">
        <v>834</v>
      </c>
      <c r="C150" s="136" t="s">
        <v>835</v>
      </c>
      <c r="D150" s="45" t="s">
        <v>15</v>
      </c>
      <c r="E150" s="45" t="s">
        <v>16</v>
      </c>
      <c r="F150" s="15">
        <v>44683</v>
      </c>
      <c r="G150" s="16">
        <v>0.11</v>
      </c>
      <c r="H150" s="15"/>
      <c r="I150" s="16"/>
      <c r="J150" s="15"/>
      <c r="K150" s="16"/>
      <c r="L150" s="15"/>
      <c r="M150" s="16"/>
      <c r="N150" s="17"/>
      <c r="O150" s="16"/>
      <c r="P150" s="16"/>
      <c r="Q150" s="152">
        <f t="shared" ref="Q150" si="85">IF(F150&lt;=Exp22Q1,G150,0)+IF(H150&lt;=Exp22Q1,I150,0)+IF(J150&lt;=Exp22Q1,K150,0)+IF(L150&lt;=Exp22Q1,M150,0)+IF(N150&lt;=Exp22Q1,O150,0)</f>
        <v>0</v>
      </c>
      <c r="R150" s="152">
        <f t="shared" ref="R150" si="86">IF(F150&lt;=Exp22H1,G150,0)+IF(H150&lt;=Exp22H1,I150,0)+IF(J150&lt;=Exp22H1,K150,0)+IF(L150&lt;=Exp22H1,M150,0)+IF(N150&lt;=Exp22H1,O150,0)</f>
        <v>0.11</v>
      </c>
      <c r="S150" s="152">
        <f t="shared" ref="S150" si="87">IF(F150&lt;=Exp22Q3,G150,0)+IF(H150&lt;=Exp22Q3,I150,0)+IF(J150&lt;=Exp22Q3,K150,0)+IF(L150&lt;=Exp22Q3,M150,0)+IF(N150&lt;=Exp22Q3,O150,0)</f>
        <v>0.11</v>
      </c>
      <c r="T150" s="18">
        <f t="shared" ref="T150" si="88">G150+I150+K150+M150+O150</f>
        <v>0.11</v>
      </c>
    </row>
    <row r="151" spans="2:20" x14ac:dyDescent="0.25">
      <c r="B151" s="117" t="s">
        <v>264</v>
      </c>
      <c r="C151" s="136" t="s">
        <v>265</v>
      </c>
      <c r="D151" s="45" t="s">
        <v>15</v>
      </c>
      <c r="E151" s="45" t="s">
        <v>56</v>
      </c>
      <c r="F151" s="15">
        <v>44630</v>
      </c>
      <c r="G151" s="16">
        <v>0.18</v>
      </c>
      <c r="H151" s="15">
        <v>44791</v>
      </c>
      <c r="I151" s="16">
        <v>0.09</v>
      </c>
      <c r="J151" s="15"/>
      <c r="K151" s="16"/>
      <c r="L151" s="15"/>
      <c r="M151" s="16"/>
      <c r="N151" s="17"/>
      <c r="O151" s="16"/>
      <c r="P151" s="16"/>
      <c r="Q151" s="152">
        <f t="shared" si="48"/>
        <v>0.18</v>
      </c>
      <c r="R151" s="152">
        <f t="shared" si="49"/>
        <v>0.18</v>
      </c>
      <c r="S151" s="152">
        <f t="shared" si="50"/>
        <v>0.27</v>
      </c>
      <c r="T151" s="18">
        <f t="shared" si="56"/>
        <v>0.27</v>
      </c>
    </row>
    <row r="152" spans="2:20" x14ac:dyDescent="0.25">
      <c r="B152" s="117" t="s">
        <v>266</v>
      </c>
      <c r="C152" s="136" t="s">
        <v>267</v>
      </c>
      <c r="D152" s="14" t="s">
        <v>15</v>
      </c>
      <c r="E152" s="14" t="s">
        <v>16</v>
      </c>
      <c r="F152" s="15">
        <v>44571</v>
      </c>
      <c r="G152" s="16">
        <v>0.17</v>
      </c>
      <c r="H152" s="15">
        <v>44721</v>
      </c>
      <c r="I152" s="16">
        <v>5.0000000000000001E-3</v>
      </c>
      <c r="J152" s="15">
        <v>44750</v>
      </c>
      <c r="K152" s="16">
        <v>0.27400000000000002</v>
      </c>
      <c r="L152" s="15"/>
      <c r="M152" s="16"/>
      <c r="N152" s="17"/>
      <c r="O152" s="16"/>
      <c r="P152" s="16"/>
      <c r="Q152" s="152">
        <f t="shared" si="48"/>
        <v>0.17</v>
      </c>
      <c r="R152" s="152">
        <f t="shared" si="49"/>
        <v>0.17500000000000002</v>
      </c>
      <c r="S152" s="152">
        <f t="shared" si="50"/>
        <v>0.44900000000000007</v>
      </c>
      <c r="T152" s="18">
        <f t="shared" si="56"/>
        <v>0.44900000000000007</v>
      </c>
    </row>
    <row r="153" spans="2:20" x14ac:dyDescent="0.25">
      <c r="B153" s="117" t="s">
        <v>268</v>
      </c>
      <c r="C153" s="136" t="s">
        <v>269</v>
      </c>
      <c r="D153" s="14" t="s">
        <v>15</v>
      </c>
      <c r="E153" s="14" t="s">
        <v>761</v>
      </c>
      <c r="F153" s="15">
        <v>44609</v>
      </c>
      <c r="G153" s="16">
        <v>48.48</v>
      </c>
      <c r="H153" s="15">
        <v>44707</v>
      </c>
      <c r="I153" s="16">
        <v>21.27</v>
      </c>
      <c r="J153" s="15">
        <v>44791</v>
      </c>
      <c r="K153" s="16">
        <v>21.27</v>
      </c>
      <c r="L153" s="15">
        <v>44889</v>
      </c>
      <c r="M153" s="63">
        <v>49.31</v>
      </c>
      <c r="N153" s="17"/>
      <c r="O153" s="16"/>
      <c r="P153" s="16"/>
      <c r="Q153" s="152">
        <f t="shared" si="48"/>
        <v>48.48</v>
      </c>
      <c r="R153" s="152">
        <f t="shared" si="49"/>
        <v>69.75</v>
      </c>
      <c r="S153" s="152">
        <f t="shared" si="50"/>
        <v>91.02</v>
      </c>
      <c r="T153" s="18">
        <f t="shared" si="56"/>
        <v>140.32999999999998</v>
      </c>
    </row>
    <row r="154" spans="2:20" x14ac:dyDescent="0.25">
      <c r="B154" s="117" t="s">
        <v>270</v>
      </c>
      <c r="C154" s="136" t="s">
        <v>271</v>
      </c>
      <c r="D154" s="14" t="s">
        <v>15</v>
      </c>
      <c r="E154" s="14" t="s">
        <v>16</v>
      </c>
      <c r="F154" s="153">
        <v>44679</v>
      </c>
      <c r="G154" s="154">
        <f>0.465*0.98712723</f>
        <v>0.45901416195000005</v>
      </c>
      <c r="H154" s="153">
        <v>44865</v>
      </c>
      <c r="I154" s="154">
        <f>0.165*0.98712723</f>
        <v>0.16287599295000002</v>
      </c>
      <c r="J154" s="15"/>
      <c r="K154" s="16"/>
      <c r="L154" s="15"/>
      <c r="M154" s="63"/>
      <c r="N154" s="17"/>
      <c r="O154" s="16"/>
      <c r="P154" s="16"/>
      <c r="Q154" s="152">
        <f t="shared" si="48"/>
        <v>0</v>
      </c>
      <c r="R154" s="152">
        <f t="shared" si="49"/>
        <v>0.45901416195000005</v>
      </c>
      <c r="S154" s="152">
        <f t="shared" si="50"/>
        <v>0.45901416195000005</v>
      </c>
      <c r="T154" s="18">
        <f t="shared" si="56"/>
        <v>0.6218901549000001</v>
      </c>
    </row>
    <row r="155" spans="2:20" x14ac:dyDescent="0.25">
      <c r="B155" s="117" t="s">
        <v>871</v>
      </c>
      <c r="C155" s="136" t="s">
        <v>872</v>
      </c>
      <c r="D155" s="14" t="s">
        <v>15</v>
      </c>
      <c r="E155" s="14" t="s">
        <v>16</v>
      </c>
      <c r="F155" s="15">
        <v>44610</v>
      </c>
      <c r="G155" s="16">
        <v>0.27</v>
      </c>
      <c r="H155" s="15"/>
      <c r="I155" s="16"/>
      <c r="J155" s="15"/>
      <c r="K155" s="16"/>
      <c r="L155" s="15"/>
      <c r="M155" s="63"/>
      <c r="N155" s="17"/>
      <c r="O155" s="16"/>
      <c r="P155" s="16"/>
      <c r="Q155" s="152">
        <f t="shared" ref="Q155" si="89">IF(F155&lt;=Exp22Q1,G155,0)+IF(H155&lt;=Exp22Q1,I155,0)+IF(J155&lt;=Exp22Q1,K155,0)+IF(L155&lt;=Exp22Q1,M155,0)+IF(N155&lt;=Exp22Q1,O155,0)</f>
        <v>0.27</v>
      </c>
      <c r="R155" s="152">
        <f t="shared" ref="R155" si="90">IF(F155&lt;=Exp22H1,G155,0)+IF(H155&lt;=Exp22H1,I155,0)+IF(J155&lt;=Exp22H1,K155,0)+IF(L155&lt;=Exp22H1,M155,0)+IF(N155&lt;=Exp22H1,O155,0)</f>
        <v>0.27</v>
      </c>
      <c r="S155" s="152">
        <f t="shared" ref="S155" si="91">IF(F155&lt;=Exp22Q3,G155,0)+IF(H155&lt;=Exp22Q3,I155,0)+IF(J155&lt;=Exp22Q3,K155,0)+IF(L155&lt;=Exp22Q3,M155,0)+IF(N155&lt;=Exp22Q3,O155,0)</f>
        <v>0.27</v>
      </c>
      <c r="T155" s="18">
        <f t="shared" ref="T155" si="92">G155+I155+K155+M155+O155</f>
        <v>0.27</v>
      </c>
    </row>
    <row r="156" spans="2:20" x14ac:dyDescent="0.25">
      <c r="B156" s="117" t="s">
        <v>273</v>
      </c>
      <c r="C156" s="136" t="s">
        <v>274</v>
      </c>
      <c r="D156" s="14" t="s">
        <v>15</v>
      </c>
      <c r="E156" s="14" t="s">
        <v>16</v>
      </c>
      <c r="F156" s="153">
        <v>44678</v>
      </c>
      <c r="G156" s="154">
        <f>0.41*0.97333946</f>
        <v>0.39906917860000002</v>
      </c>
      <c r="H156" s="15">
        <v>44781</v>
      </c>
      <c r="I156" s="16">
        <v>0.17</v>
      </c>
      <c r="J156" s="15"/>
      <c r="K156" s="16"/>
      <c r="L156" s="15"/>
      <c r="M156" s="16"/>
      <c r="N156" s="17"/>
      <c r="O156" s="16"/>
      <c r="P156" s="16"/>
      <c r="Q156" s="152">
        <f t="shared" si="48"/>
        <v>0</v>
      </c>
      <c r="R156" s="152">
        <f t="shared" si="49"/>
        <v>0.39906917860000002</v>
      </c>
      <c r="S156" s="152">
        <f t="shared" si="50"/>
        <v>0.56906917860000006</v>
      </c>
      <c r="T156" s="18">
        <f t="shared" si="56"/>
        <v>0.56906917860000006</v>
      </c>
    </row>
    <row r="157" spans="2:20" x14ac:dyDescent="0.25">
      <c r="B157" s="117" t="s">
        <v>276</v>
      </c>
      <c r="C157" s="136" t="s">
        <v>277</v>
      </c>
      <c r="D157" s="14" t="s">
        <v>15</v>
      </c>
      <c r="E157" s="14" t="s">
        <v>16</v>
      </c>
      <c r="F157" s="15">
        <v>44704</v>
      </c>
      <c r="G157" s="16">
        <v>7.8899999999999998E-2</v>
      </c>
      <c r="H157" s="15">
        <v>44886</v>
      </c>
      <c r="I157" s="16">
        <v>7.3800000000000004E-2</v>
      </c>
      <c r="J157" s="15"/>
      <c r="K157" s="16"/>
      <c r="L157" s="15"/>
      <c r="M157" s="16"/>
      <c r="N157" s="17"/>
      <c r="O157" s="16"/>
      <c r="P157" s="16"/>
      <c r="Q157" s="152">
        <f t="shared" si="48"/>
        <v>0</v>
      </c>
      <c r="R157" s="152">
        <f t="shared" si="49"/>
        <v>7.8899999999999998E-2</v>
      </c>
      <c r="S157" s="152">
        <f t="shared" si="50"/>
        <v>7.8899999999999998E-2</v>
      </c>
      <c r="T157" s="18">
        <f t="shared" si="56"/>
        <v>0.1527</v>
      </c>
    </row>
    <row r="158" spans="2:20" x14ac:dyDescent="0.25">
      <c r="B158" s="117" t="s">
        <v>836</v>
      </c>
      <c r="C158" s="136" t="s">
        <v>837</v>
      </c>
      <c r="D158" s="14" t="s">
        <v>15</v>
      </c>
      <c r="E158" s="14" t="s">
        <v>200</v>
      </c>
      <c r="F158" s="15">
        <v>44685</v>
      </c>
      <c r="G158" s="16">
        <v>3</v>
      </c>
      <c r="H158" s="15">
        <v>44869</v>
      </c>
      <c r="I158" s="16">
        <v>1</v>
      </c>
      <c r="J158" s="15"/>
      <c r="K158" s="16"/>
      <c r="L158" s="15"/>
      <c r="M158" s="16"/>
      <c r="N158" s="17"/>
      <c r="O158" s="16"/>
      <c r="P158" s="16"/>
      <c r="Q158" s="152">
        <f t="shared" ref="Q158" si="93">IF(F158&lt;=Exp22Q1,G158,0)+IF(H158&lt;=Exp22Q1,I158,0)+IF(J158&lt;=Exp22Q1,K158,0)+IF(L158&lt;=Exp22Q1,M158,0)+IF(N158&lt;=Exp22Q1,O158,0)</f>
        <v>0</v>
      </c>
      <c r="R158" s="152">
        <f t="shared" ref="R158" si="94">IF(F158&lt;=Exp22H1,G158,0)+IF(H158&lt;=Exp22H1,I158,0)+IF(J158&lt;=Exp22H1,K158,0)+IF(L158&lt;=Exp22H1,M158,0)+IF(N158&lt;=Exp22H1,O158,0)</f>
        <v>3</v>
      </c>
      <c r="S158" s="152">
        <f t="shared" ref="S158" si="95">IF(F158&lt;=Exp22Q3,G158,0)+IF(H158&lt;=Exp22Q3,I158,0)+IF(J158&lt;=Exp22Q3,K158,0)+IF(L158&lt;=Exp22Q3,M158,0)+IF(N158&lt;=Exp22Q3,O158,0)</f>
        <v>3</v>
      </c>
      <c r="T158" s="18">
        <f t="shared" ref="T158" si="96">G158+I158+K158+M158+O158</f>
        <v>4</v>
      </c>
    </row>
    <row r="159" spans="2:20" x14ac:dyDescent="0.25">
      <c r="B159" s="117" t="s">
        <v>278</v>
      </c>
      <c r="C159" s="136" t="s">
        <v>279</v>
      </c>
      <c r="D159" s="14" t="s">
        <v>15</v>
      </c>
      <c r="E159" s="14" t="s">
        <v>16</v>
      </c>
      <c r="F159" s="15">
        <v>44704</v>
      </c>
      <c r="G159" s="16">
        <v>0.29499999999999998</v>
      </c>
      <c r="H159" s="15"/>
      <c r="I159" s="16"/>
      <c r="J159" s="15"/>
      <c r="K159" s="16"/>
      <c r="L159" s="15"/>
      <c r="M159" s="16"/>
      <c r="N159" s="17"/>
      <c r="O159" s="16"/>
      <c r="P159" s="16"/>
      <c r="Q159" s="152">
        <f t="shared" si="48"/>
        <v>0</v>
      </c>
      <c r="R159" s="152">
        <f t="shared" si="49"/>
        <v>0.29499999999999998</v>
      </c>
      <c r="S159" s="152">
        <f t="shared" si="50"/>
        <v>0.29499999999999998</v>
      </c>
      <c r="T159" s="18">
        <f t="shared" si="56"/>
        <v>0.29499999999999998</v>
      </c>
    </row>
    <row r="160" spans="2:20" x14ac:dyDescent="0.25">
      <c r="B160" s="117" t="s">
        <v>751</v>
      </c>
      <c r="C160" s="136" t="s">
        <v>752</v>
      </c>
      <c r="D160" s="14" t="s">
        <v>237</v>
      </c>
      <c r="E160" s="14" t="s">
        <v>16</v>
      </c>
      <c r="F160" s="15">
        <v>44697</v>
      </c>
      <c r="G160" s="16">
        <v>0.78500000000000003</v>
      </c>
      <c r="H160" s="15"/>
      <c r="I160" s="16"/>
      <c r="J160" s="15"/>
      <c r="K160" s="16"/>
      <c r="L160" s="15"/>
      <c r="M160" s="16"/>
      <c r="N160" s="17"/>
      <c r="O160" s="16"/>
      <c r="P160" s="16"/>
      <c r="Q160" s="152">
        <f t="shared" ref="Q160:Q225" si="97">IF(F160&lt;=Exp22Q1,G160,0)+IF(H160&lt;=Exp22Q1,I160,0)+IF(J160&lt;=Exp22Q1,K160,0)+IF(L160&lt;=Exp22Q1,M160,0)+IF(N160&lt;=Exp22Q1,O160,0)</f>
        <v>0</v>
      </c>
      <c r="R160" s="152">
        <f t="shared" ref="R160:R225" si="98">IF(F160&lt;=Exp22H1,G160,0)+IF(H160&lt;=Exp22H1,I160,0)+IF(J160&lt;=Exp22H1,K160,0)+IF(L160&lt;=Exp22H1,M160,0)+IF(N160&lt;=Exp22H1,O160,0)</f>
        <v>0.78500000000000003</v>
      </c>
      <c r="S160" s="152">
        <f t="shared" ref="S160:S225" si="99">IF(F160&lt;=Exp22Q3,G160,0)+IF(H160&lt;=Exp22Q3,I160,0)+IF(J160&lt;=Exp22Q3,K160,0)+IF(L160&lt;=Exp22Q3,M160,0)+IF(N160&lt;=Exp22Q3,O160,0)</f>
        <v>0.78500000000000003</v>
      </c>
      <c r="T160" s="18">
        <f t="shared" si="56"/>
        <v>0.78500000000000003</v>
      </c>
    </row>
    <row r="161" spans="2:20" x14ac:dyDescent="0.25">
      <c r="B161" s="117" t="s">
        <v>284</v>
      </c>
      <c r="C161" s="136" t="s">
        <v>285</v>
      </c>
      <c r="D161" s="14" t="s">
        <v>15</v>
      </c>
      <c r="E161" s="14" t="s">
        <v>21</v>
      </c>
      <c r="F161" s="15">
        <v>44665</v>
      </c>
      <c r="G161" s="16">
        <v>2.6</v>
      </c>
      <c r="H161" s="15"/>
      <c r="I161" s="16"/>
      <c r="J161" s="15"/>
      <c r="K161" s="16"/>
      <c r="L161" s="15"/>
      <c r="M161" s="16"/>
      <c r="N161" s="17"/>
      <c r="O161" s="16"/>
      <c r="P161" s="16"/>
      <c r="Q161" s="152">
        <f t="shared" si="97"/>
        <v>0</v>
      </c>
      <c r="R161" s="152">
        <f t="shared" si="98"/>
        <v>2.6</v>
      </c>
      <c r="S161" s="152">
        <f t="shared" si="99"/>
        <v>2.6</v>
      </c>
      <c r="T161" s="18">
        <f t="shared" si="56"/>
        <v>2.6</v>
      </c>
    </row>
    <row r="162" spans="2:20" x14ac:dyDescent="0.25">
      <c r="B162" s="12" t="s">
        <v>286</v>
      </c>
      <c r="C162" s="136" t="s">
        <v>287</v>
      </c>
      <c r="D162" s="14" t="s">
        <v>15</v>
      </c>
      <c r="E162" s="14" t="s">
        <v>16</v>
      </c>
      <c r="F162" s="15">
        <v>44694</v>
      </c>
      <c r="G162" s="16">
        <v>0.2</v>
      </c>
      <c r="H162" s="15"/>
      <c r="I162" s="16"/>
      <c r="J162" s="15"/>
      <c r="K162" s="16"/>
      <c r="L162" s="15"/>
      <c r="M162" s="16"/>
      <c r="N162" s="17"/>
      <c r="O162" s="16"/>
      <c r="P162" s="16"/>
      <c r="Q162" s="152">
        <f t="shared" si="97"/>
        <v>0</v>
      </c>
      <c r="R162" s="152">
        <f t="shared" si="98"/>
        <v>0.2</v>
      </c>
      <c r="S162" s="152">
        <f t="shared" si="99"/>
        <v>0.2</v>
      </c>
      <c r="T162" s="18">
        <f t="shared" si="56"/>
        <v>0.2</v>
      </c>
    </row>
    <row r="163" spans="2:20" x14ac:dyDescent="0.25">
      <c r="B163" s="117" t="s">
        <v>288</v>
      </c>
      <c r="C163" s="136" t="s">
        <v>289</v>
      </c>
      <c r="D163" s="14" t="s">
        <v>27</v>
      </c>
      <c r="E163" s="14" t="s">
        <v>16</v>
      </c>
      <c r="F163" s="153">
        <v>44691</v>
      </c>
      <c r="G163" s="154">
        <f>3 *0.92174209</f>
        <v>2.7652262699999999</v>
      </c>
      <c r="H163" s="15">
        <v>44879</v>
      </c>
      <c r="I163" s="16">
        <v>1</v>
      </c>
      <c r="J163" s="15"/>
      <c r="K163" s="16"/>
      <c r="L163" s="15"/>
      <c r="M163" s="16"/>
      <c r="N163" s="17"/>
      <c r="O163" s="16"/>
      <c r="P163" s="16"/>
      <c r="Q163" s="152">
        <f t="shared" si="97"/>
        <v>0</v>
      </c>
      <c r="R163" s="152">
        <f t="shared" si="98"/>
        <v>2.7652262699999999</v>
      </c>
      <c r="S163" s="152">
        <f t="shared" si="99"/>
        <v>2.7652262699999999</v>
      </c>
      <c r="T163" s="18">
        <f t="shared" si="56"/>
        <v>3.7652262699999999</v>
      </c>
    </row>
    <row r="164" spans="2:20" x14ac:dyDescent="0.25">
      <c r="B164" s="117" t="s">
        <v>290</v>
      </c>
      <c r="C164" s="136" t="s">
        <v>291</v>
      </c>
      <c r="D164" s="14" t="s">
        <v>24</v>
      </c>
      <c r="E164" s="14" t="s">
        <v>16</v>
      </c>
      <c r="F164" s="15">
        <v>44574</v>
      </c>
      <c r="G164" s="16">
        <v>3.5</v>
      </c>
      <c r="H164" s="15">
        <v>44684</v>
      </c>
      <c r="I164" s="16">
        <v>8.5</v>
      </c>
      <c r="J164" s="15"/>
      <c r="K164" s="16"/>
      <c r="L164" s="15"/>
      <c r="M164" s="16"/>
      <c r="N164" s="17"/>
      <c r="O164" s="16"/>
      <c r="P164" s="16"/>
      <c r="Q164" s="152">
        <f t="shared" si="97"/>
        <v>3.5</v>
      </c>
      <c r="R164" s="152">
        <f t="shared" si="98"/>
        <v>12</v>
      </c>
      <c r="S164" s="152">
        <f t="shared" si="99"/>
        <v>12</v>
      </c>
      <c r="T164" s="18">
        <f t="shared" si="56"/>
        <v>12</v>
      </c>
    </row>
    <row r="165" spans="2:20" x14ac:dyDescent="0.25">
      <c r="B165" s="117" t="s">
        <v>292</v>
      </c>
      <c r="C165" s="136" t="s">
        <v>293</v>
      </c>
      <c r="D165" s="14" t="s">
        <v>15</v>
      </c>
      <c r="E165" s="14" t="s">
        <v>16</v>
      </c>
      <c r="F165" s="15">
        <v>44659</v>
      </c>
      <c r="G165" s="16">
        <v>0.27</v>
      </c>
      <c r="H165" s="15">
        <v>44733</v>
      </c>
      <c r="I165" s="16">
        <v>0.26</v>
      </c>
      <c r="J165" s="15">
        <v>44816</v>
      </c>
      <c r="K165" s="16">
        <v>0.27</v>
      </c>
      <c r="L165" s="15">
        <v>44907</v>
      </c>
      <c r="M165" s="16">
        <v>0.26</v>
      </c>
      <c r="N165" s="17"/>
      <c r="O165" s="16"/>
      <c r="P165" s="16"/>
      <c r="Q165" s="152">
        <f t="shared" si="97"/>
        <v>0</v>
      </c>
      <c r="R165" s="152">
        <f t="shared" si="98"/>
        <v>0.27</v>
      </c>
      <c r="S165" s="152">
        <f t="shared" si="99"/>
        <v>0.8</v>
      </c>
      <c r="T165" s="18">
        <f t="shared" si="56"/>
        <v>1.06</v>
      </c>
    </row>
    <row r="166" spans="2:20" x14ac:dyDescent="0.25">
      <c r="B166" s="117" t="s">
        <v>294</v>
      </c>
      <c r="C166" s="136" t="s">
        <v>295</v>
      </c>
      <c r="D166" s="14" t="s">
        <v>15</v>
      </c>
      <c r="E166" s="14" t="s">
        <v>200</v>
      </c>
      <c r="F166" s="15"/>
      <c r="G166" s="16"/>
      <c r="H166" s="15"/>
      <c r="I166" s="16"/>
      <c r="J166" s="15"/>
      <c r="K166" s="16"/>
      <c r="L166" s="15"/>
      <c r="M166" s="16"/>
      <c r="N166" s="17"/>
      <c r="O166" s="16"/>
      <c r="P166" s="16"/>
      <c r="Q166" s="152">
        <f t="shared" si="97"/>
        <v>0</v>
      </c>
      <c r="R166" s="152">
        <f t="shared" si="98"/>
        <v>0</v>
      </c>
      <c r="S166" s="152">
        <f t="shared" si="99"/>
        <v>0</v>
      </c>
      <c r="T166" s="18">
        <f t="shared" si="56"/>
        <v>0</v>
      </c>
    </row>
    <row r="167" spans="2:20" x14ac:dyDescent="0.25">
      <c r="B167" s="117" t="s">
        <v>688</v>
      </c>
      <c r="C167" s="136" t="s">
        <v>689</v>
      </c>
      <c r="D167" s="14" t="s">
        <v>24</v>
      </c>
      <c r="E167" s="14" t="s">
        <v>16</v>
      </c>
      <c r="F167" s="15">
        <v>44693</v>
      </c>
      <c r="G167" s="16">
        <v>1.7</v>
      </c>
      <c r="H167" s="15"/>
      <c r="I167" s="16"/>
      <c r="J167" s="15"/>
      <c r="K167" s="16"/>
      <c r="L167" s="15"/>
      <c r="M167" s="16"/>
      <c r="N167" s="17"/>
      <c r="O167" s="16"/>
      <c r="P167" s="16"/>
      <c r="Q167" s="152">
        <f t="shared" si="97"/>
        <v>0</v>
      </c>
      <c r="R167" s="152">
        <f t="shared" si="98"/>
        <v>1.7</v>
      </c>
      <c r="S167" s="152">
        <f t="shared" si="99"/>
        <v>1.7</v>
      </c>
      <c r="T167" s="18">
        <f t="shared" si="56"/>
        <v>1.7</v>
      </c>
    </row>
    <row r="168" spans="2:20" x14ac:dyDescent="0.25">
      <c r="B168" s="117" t="s">
        <v>861</v>
      </c>
      <c r="C168" s="136" t="s">
        <v>862</v>
      </c>
      <c r="D168" s="14" t="s">
        <v>15</v>
      </c>
      <c r="E168" s="14" t="s">
        <v>16</v>
      </c>
      <c r="F168" s="153">
        <v>44622</v>
      </c>
      <c r="G168" s="154">
        <f>1.75*0.99293358</f>
        <v>1.737633765</v>
      </c>
      <c r="H168" s="15"/>
      <c r="I168" s="16"/>
      <c r="J168" s="15"/>
      <c r="K168" s="16"/>
      <c r="L168" s="15"/>
      <c r="M168" s="16"/>
      <c r="N168" s="17"/>
      <c r="O168" s="16"/>
      <c r="P168" s="16"/>
      <c r="Q168" s="152">
        <f t="shared" ref="Q168" si="100">IF(F168&lt;=Exp22Q1,G168,0)+IF(H168&lt;=Exp22Q1,I168,0)+IF(J168&lt;=Exp22Q1,K168,0)+IF(L168&lt;=Exp22Q1,M168,0)+IF(N168&lt;=Exp22Q1,O168,0)</f>
        <v>1.737633765</v>
      </c>
      <c r="R168" s="152">
        <f t="shared" ref="R168" si="101">IF(F168&lt;=Exp22H1,G168,0)+IF(H168&lt;=Exp22H1,I168,0)+IF(J168&lt;=Exp22H1,K168,0)+IF(L168&lt;=Exp22H1,M168,0)+IF(N168&lt;=Exp22H1,O168,0)</f>
        <v>1.737633765</v>
      </c>
      <c r="S168" s="152">
        <f t="shared" ref="S168" si="102">IF(F168&lt;=Exp22Q3,G168,0)+IF(H168&lt;=Exp22Q3,I168,0)+IF(J168&lt;=Exp22Q3,K168,0)+IF(L168&lt;=Exp22Q3,M168,0)+IF(N168&lt;=Exp22Q3,O168,0)</f>
        <v>1.737633765</v>
      </c>
      <c r="T168" s="18">
        <f t="shared" ref="T168" si="103">G168+I168+K168+M168+O168</f>
        <v>1.737633765</v>
      </c>
    </row>
    <row r="169" spans="2:20" x14ac:dyDescent="0.25">
      <c r="B169" s="117" t="s">
        <v>296</v>
      </c>
      <c r="C169" s="136" t="s">
        <v>297</v>
      </c>
      <c r="D169" s="14" t="s">
        <v>15</v>
      </c>
      <c r="E169" s="14" t="s">
        <v>16</v>
      </c>
      <c r="F169" s="15">
        <v>44670</v>
      </c>
      <c r="G169" s="16">
        <v>9.0999999999999998E-2</v>
      </c>
      <c r="H169" s="46">
        <v>44771</v>
      </c>
      <c r="I169" s="47">
        <v>4.8000000000000001E-2</v>
      </c>
      <c r="J169" s="46"/>
      <c r="K169" s="47"/>
      <c r="L169" s="46"/>
      <c r="M169" s="47"/>
      <c r="N169" s="48"/>
      <c r="O169" s="47"/>
      <c r="P169" s="47"/>
      <c r="Q169" s="152">
        <f t="shared" si="97"/>
        <v>0</v>
      </c>
      <c r="R169" s="152">
        <f t="shared" si="98"/>
        <v>9.0999999999999998E-2</v>
      </c>
      <c r="S169" s="152">
        <f t="shared" si="99"/>
        <v>0.13900000000000001</v>
      </c>
      <c r="T169" s="18">
        <f t="shared" si="56"/>
        <v>0.13900000000000001</v>
      </c>
    </row>
    <row r="170" spans="2:20" x14ac:dyDescent="0.25">
      <c r="B170" s="117" t="s">
        <v>768</v>
      </c>
      <c r="C170" s="136" t="s">
        <v>299</v>
      </c>
      <c r="D170" s="14" t="s">
        <v>15</v>
      </c>
      <c r="E170" s="14" t="s">
        <v>21</v>
      </c>
      <c r="F170" s="15">
        <v>44690</v>
      </c>
      <c r="G170" s="16">
        <v>2.2000000000000002</v>
      </c>
      <c r="H170" s="15"/>
      <c r="I170" s="16"/>
      <c r="J170" s="15"/>
      <c r="K170" s="16"/>
      <c r="L170" s="15"/>
      <c r="M170" s="16"/>
      <c r="N170" s="17"/>
      <c r="O170" s="16"/>
      <c r="P170" s="16"/>
      <c r="Q170" s="152">
        <f t="shared" si="97"/>
        <v>0</v>
      </c>
      <c r="R170" s="152">
        <f t="shared" si="98"/>
        <v>2.2000000000000002</v>
      </c>
      <c r="S170" s="152">
        <f t="shared" si="99"/>
        <v>2.2000000000000002</v>
      </c>
      <c r="T170" s="18">
        <f t="shared" si="56"/>
        <v>2.2000000000000002</v>
      </c>
    </row>
    <row r="171" spans="2:20" x14ac:dyDescent="0.25">
      <c r="B171" s="117" t="s">
        <v>302</v>
      </c>
      <c r="C171" s="136" t="s">
        <v>303</v>
      </c>
      <c r="D171" s="14" t="s">
        <v>15</v>
      </c>
      <c r="E171" s="14" t="s">
        <v>761</v>
      </c>
      <c r="F171" s="15">
        <v>44672</v>
      </c>
      <c r="G171" s="16">
        <v>13.27</v>
      </c>
      <c r="H171" s="15">
        <v>44791</v>
      </c>
      <c r="I171" s="16">
        <v>5.44</v>
      </c>
      <c r="J171" s="15"/>
      <c r="K171" s="16"/>
      <c r="L171" s="15"/>
      <c r="M171" s="16"/>
      <c r="N171" s="17"/>
      <c r="O171" s="16"/>
      <c r="P171" s="16"/>
      <c r="Q171" s="152">
        <f t="shared" si="97"/>
        <v>0</v>
      </c>
      <c r="R171" s="152">
        <f t="shared" si="98"/>
        <v>13.27</v>
      </c>
      <c r="S171" s="152">
        <f t="shared" si="99"/>
        <v>18.71</v>
      </c>
      <c r="T171" s="18">
        <f t="shared" si="56"/>
        <v>18.71</v>
      </c>
    </row>
    <row r="172" spans="2:20" x14ac:dyDescent="0.25">
      <c r="B172" s="117" t="s">
        <v>304</v>
      </c>
      <c r="C172" s="136" t="s">
        <v>305</v>
      </c>
      <c r="D172" s="14" t="s">
        <v>24</v>
      </c>
      <c r="E172" s="14" t="s">
        <v>16</v>
      </c>
      <c r="F172" s="15">
        <v>44711</v>
      </c>
      <c r="G172" s="16">
        <v>1.65</v>
      </c>
      <c r="H172" s="15"/>
      <c r="I172" s="16"/>
      <c r="J172" s="15"/>
      <c r="K172" s="16"/>
      <c r="L172" s="15"/>
      <c r="M172" s="16"/>
      <c r="N172" s="17"/>
      <c r="O172" s="16"/>
      <c r="P172" s="16"/>
      <c r="Q172" s="152">
        <f t="shared" si="97"/>
        <v>0</v>
      </c>
      <c r="R172" s="152">
        <f t="shared" si="98"/>
        <v>1.65</v>
      </c>
      <c r="S172" s="152">
        <f t="shared" si="99"/>
        <v>1.65</v>
      </c>
      <c r="T172" s="18">
        <f t="shared" si="56"/>
        <v>1.65</v>
      </c>
    </row>
    <row r="173" spans="2:20" x14ac:dyDescent="0.25">
      <c r="B173" s="117" t="s">
        <v>749</v>
      </c>
      <c r="C173" s="136" t="s">
        <v>750</v>
      </c>
      <c r="D173" s="14" t="s">
        <v>15</v>
      </c>
      <c r="E173" s="14" t="s">
        <v>16</v>
      </c>
      <c r="F173" s="15">
        <v>44732</v>
      </c>
      <c r="G173" s="16">
        <v>0.14000000000000001</v>
      </c>
      <c r="H173" s="15"/>
      <c r="I173" s="16"/>
      <c r="J173" s="15"/>
      <c r="K173" s="16"/>
      <c r="L173" s="15"/>
      <c r="M173" s="16"/>
      <c r="N173" s="17"/>
      <c r="O173" s="16"/>
      <c r="P173" s="16"/>
      <c r="Q173" s="152">
        <f t="shared" si="97"/>
        <v>0</v>
      </c>
      <c r="R173" s="152">
        <f t="shared" si="98"/>
        <v>0</v>
      </c>
      <c r="S173" s="152">
        <f t="shared" si="99"/>
        <v>0.14000000000000001</v>
      </c>
      <c r="T173" s="18">
        <f t="shared" si="56"/>
        <v>0.14000000000000001</v>
      </c>
    </row>
    <row r="174" spans="2:20" x14ac:dyDescent="0.25">
      <c r="B174" s="117" t="s">
        <v>634</v>
      </c>
      <c r="C174" s="136" t="s">
        <v>307</v>
      </c>
      <c r="D174" s="14" t="s">
        <v>15</v>
      </c>
      <c r="E174" s="14" t="s">
        <v>16</v>
      </c>
      <c r="F174" s="15">
        <v>44630</v>
      </c>
      <c r="G174" s="16">
        <f>1.17/1.0993</f>
        <v>1.0643136541435458</v>
      </c>
      <c r="H174" s="15">
        <v>44714</v>
      </c>
      <c r="I174" s="16">
        <f>1.17/1.0712</f>
        <v>1.0922330097087378</v>
      </c>
      <c r="J174" s="15">
        <v>44805</v>
      </c>
      <c r="K174" s="16">
        <f>1.17/1</f>
        <v>1.17</v>
      </c>
      <c r="L174" s="15">
        <v>44896</v>
      </c>
      <c r="M174" s="16">
        <f>1.17/1.0376</f>
        <v>1.1276021588280647</v>
      </c>
      <c r="N174" s="17"/>
      <c r="O174" s="16"/>
      <c r="P174" s="16"/>
      <c r="Q174" s="152">
        <f t="shared" si="97"/>
        <v>1.0643136541435458</v>
      </c>
      <c r="R174" s="152">
        <f t="shared" si="98"/>
        <v>2.1565466638522839</v>
      </c>
      <c r="S174" s="152">
        <f t="shared" si="99"/>
        <v>3.3265466638522838</v>
      </c>
      <c r="T174" s="18">
        <f t="shared" si="56"/>
        <v>4.4541488226803487</v>
      </c>
    </row>
    <row r="175" spans="2:20" x14ac:dyDescent="0.25">
      <c r="B175" s="117" t="s">
        <v>308</v>
      </c>
      <c r="C175" s="136" t="s">
        <v>309</v>
      </c>
      <c r="D175" s="14" t="s">
        <v>15</v>
      </c>
      <c r="E175" s="14" t="s">
        <v>761</v>
      </c>
      <c r="F175" s="15">
        <v>44658</v>
      </c>
      <c r="G175" s="16">
        <v>1.33</v>
      </c>
      <c r="H175" s="15">
        <v>44777</v>
      </c>
      <c r="I175" s="16">
        <v>0.8</v>
      </c>
      <c r="J175" s="15"/>
      <c r="K175" s="16"/>
      <c r="L175" s="15"/>
      <c r="M175" s="16"/>
      <c r="N175" s="17"/>
      <c r="O175" s="16"/>
      <c r="P175" s="16"/>
      <c r="Q175" s="152">
        <f t="shared" si="97"/>
        <v>0</v>
      </c>
      <c r="R175" s="152">
        <f t="shared" si="98"/>
        <v>1.33</v>
      </c>
      <c r="S175" s="152">
        <f t="shared" si="99"/>
        <v>2.13</v>
      </c>
      <c r="T175" s="18">
        <f t="shared" si="56"/>
        <v>2.13</v>
      </c>
    </row>
    <row r="176" spans="2:20" x14ac:dyDescent="0.25">
      <c r="B176" s="117" t="s">
        <v>877</v>
      </c>
      <c r="C176" s="136" t="s">
        <v>875</v>
      </c>
      <c r="D176" s="14" t="s">
        <v>15</v>
      </c>
      <c r="E176" s="14" t="s">
        <v>21</v>
      </c>
      <c r="F176" s="15">
        <v>44830</v>
      </c>
      <c r="G176" s="16">
        <v>0.96209999999999996</v>
      </c>
      <c r="H176" s="15"/>
      <c r="I176" s="16"/>
      <c r="J176" s="15"/>
      <c r="K176" s="16"/>
      <c r="L176" s="15"/>
      <c r="M176" s="16"/>
      <c r="N176" s="17"/>
      <c r="O176" s="16"/>
      <c r="P176" s="16"/>
      <c r="Q176" s="152">
        <f t="shared" ref="Q176" si="104">IF(F176&lt;=Exp22Q1,G176,0)+IF(H176&lt;=Exp22Q1,I176,0)+IF(J176&lt;=Exp22Q1,K176,0)+IF(L176&lt;=Exp22Q1,M176,0)+IF(N176&lt;=Exp22Q1,O176,0)</f>
        <v>0</v>
      </c>
      <c r="R176" s="152">
        <f t="shared" ref="R176" si="105">IF(F176&lt;=Exp22H1,G176,0)+IF(H176&lt;=Exp22H1,I176,0)+IF(J176&lt;=Exp22H1,K176,0)+IF(L176&lt;=Exp22H1,M176,0)+IF(N176&lt;=Exp22H1,O176,0)</f>
        <v>0</v>
      </c>
      <c r="S176" s="152">
        <f t="shared" ref="S176" si="106">IF(F176&lt;=Exp22Q3,G176,0)+IF(H176&lt;=Exp22Q3,I176,0)+IF(J176&lt;=Exp22Q3,K176,0)+IF(L176&lt;=Exp22Q3,M176,0)+IF(N176&lt;=Exp22Q3,O176,0)</f>
        <v>0</v>
      </c>
      <c r="T176" s="18">
        <f t="shared" ref="T176" si="107">G176+I176+K176+M176+O176</f>
        <v>0.96209999999999996</v>
      </c>
    </row>
    <row r="177" spans="2:20" x14ac:dyDescent="0.25">
      <c r="B177" s="117" t="s">
        <v>876</v>
      </c>
      <c r="C177" s="136" t="s">
        <v>878</v>
      </c>
      <c r="D177" s="14" t="s">
        <v>15</v>
      </c>
      <c r="E177" s="14" t="s">
        <v>21</v>
      </c>
      <c r="F177" s="15">
        <v>44690</v>
      </c>
      <c r="G177" s="16">
        <v>3</v>
      </c>
      <c r="H177" s="15"/>
      <c r="I177" s="16"/>
      <c r="J177" s="15"/>
      <c r="K177" s="16"/>
      <c r="L177" s="15"/>
      <c r="M177" s="16"/>
      <c r="N177" s="17"/>
      <c r="O177" s="16"/>
      <c r="P177" s="16"/>
      <c r="Q177" s="152">
        <f t="shared" ref="Q177" si="108">IF(F177&lt;=Exp22Q1,G177,0)+IF(H177&lt;=Exp22Q1,I177,0)+IF(J177&lt;=Exp22Q1,K177,0)+IF(L177&lt;=Exp22Q1,M177,0)+IF(N177&lt;=Exp22Q1,O177,0)</f>
        <v>0</v>
      </c>
      <c r="R177" s="152">
        <f t="shared" ref="R177" si="109">IF(F177&lt;=Exp22H1,G177,0)+IF(H177&lt;=Exp22H1,I177,0)+IF(J177&lt;=Exp22H1,K177,0)+IF(L177&lt;=Exp22H1,M177,0)+IF(N177&lt;=Exp22H1,O177,0)</f>
        <v>3</v>
      </c>
      <c r="S177" s="152">
        <f t="shared" ref="S177" si="110">IF(F177&lt;=Exp22Q3,G177,0)+IF(H177&lt;=Exp22Q3,I177,0)+IF(J177&lt;=Exp22Q3,K177,0)+IF(L177&lt;=Exp22Q3,M177,0)+IF(N177&lt;=Exp22Q3,O177,0)</f>
        <v>3</v>
      </c>
      <c r="T177" s="18">
        <f t="shared" ref="T177" si="111">G177+I177+K177+M177+O177</f>
        <v>3</v>
      </c>
    </row>
    <row r="178" spans="2:20" x14ac:dyDescent="0.25">
      <c r="B178" s="117" t="s">
        <v>310</v>
      </c>
      <c r="C178" s="136" t="s">
        <v>311</v>
      </c>
      <c r="D178" s="14" t="s">
        <v>24</v>
      </c>
      <c r="E178" s="14" t="s">
        <v>16</v>
      </c>
      <c r="F178" s="15">
        <v>44678</v>
      </c>
      <c r="G178" s="16">
        <v>4.8</v>
      </c>
      <c r="H178" s="15"/>
      <c r="I178" s="16"/>
      <c r="J178" s="15"/>
      <c r="K178" s="16"/>
      <c r="L178" s="15"/>
      <c r="M178" s="16"/>
      <c r="N178" s="17"/>
      <c r="O178" s="16"/>
      <c r="P178" s="16"/>
      <c r="Q178" s="152">
        <f t="shared" si="97"/>
        <v>0</v>
      </c>
      <c r="R178" s="152">
        <f t="shared" si="98"/>
        <v>4.8</v>
      </c>
      <c r="S178" s="152">
        <f t="shared" si="99"/>
        <v>4.8</v>
      </c>
      <c r="T178" s="18">
        <f t="shared" ref="T178:T256" si="112">G178+I178+K178+M178+O178</f>
        <v>4.8</v>
      </c>
    </row>
    <row r="179" spans="2:20" x14ac:dyDescent="0.25">
      <c r="B179" s="117" t="s">
        <v>312</v>
      </c>
      <c r="C179" s="136" t="s">
        <v>313</v>
      </c>
      <c r="D179" s="14" t="s">
        <v>24</v>
      </c>
      <c r="E179" s="14" t="s">
        <v>16</v>
      </c>
      <c r="F179" s="15">
        <v>44677</v>
      </c>
      <c r="G179" s="16">
        <v>7</v>
      </c>
      <c r="H179" s="15">
        <v>44896</v>
      </c>
      <c r="I179" s="16">
        <v>5</v>
      </c>
      <c r="J179" s="15"/>
      <c r="K179" s="16"/>
      <c r="L179" s="15"/>
      <c r="M179" s="16"/>
      <c r="N179" s="17"/>
      <c r="O179" s="16"/>
      <c r="P179" s="16"/>
      <c r="Q179" s="152">
        <f t="shared" si="97"/>
        <v>0</v>
      </c>
      <c r="R179" s="152">
        <f t="shared" si="98"/>
        <v>7</v>
      </c>
      <c r="S179" s="152">
        <f t="shared" si="99"/>
        <v>7</v>
      </c>
      <c r="T179" s="18">
        <f t="shared" si="112"/>
        <v>12</v>
      </c>
    </row>
    <row r="180" spans="2:20" x14ac:dyDescent="0.25">
      <c r="B180" s="117" t="s">
        <v>314</v>
      </c>
      <c r="C180" s="136" t="s">
        <v>315</v>
      </c>
      <c r="D180" s="14" t="s">
        <v>15</v>
      </c>
      <c r="E180" s="14" t="s">
        <v>16</v>
      </c>
      <c r="F180" s="15">
        <v>44708</v>
      </c>
      <c r="G180" s="16">
        <v>8.5699999999999998E-2</v>
      </c>
      <c r="H180" s="15">
        <v>44893</v>
      </c>
      <c r="I180" s="16">
        <v>6.0400000000000002E-2</v>
      </c>
      <c r="J180" s="15"/>
      <c r="K180" s="16"/>
      <c r="L180" s="15"/>
      <c r="M180" s="16"/>
      <c r="N180" s="17"/>
      <c r="O180" s="16"/>
      <c r="P180" s="16"/>
      <c r="Q180" s="152">
        <f t="shared" si="97"/>
        <v>0</v>
      </c>
      <c r="R180" s="152">
        <f t="shared" si="98"/>
        <v>8.5699999999999998E-2</v>
      </c>
      <c r="S180" s="152">
        <f t="shared" si="99"/>
        <v>8.5699999999999998E-2</v>
      </c>
      <c r="T180" s="18">
        <f t="shared" si="112"/>
        <v>0.14610000000000001</v>
      </c>
    </row>
    <row r="181" spans="2:20" x14ac:dyDescent="0.25">
      <c r="B181" s="117" t="s">
        <v>798</v>
      </c>
      <c r="C181" s="136" t="s">
        <v>317</v>
      </c>
      <c r="D181" s="39" t="s">
        <v>15</v>
      </c>
      <c r="E181" s="39" t="s">
        <v>16</v>
      </c>
      <c r="F181" s="15">
        <v>44823</v>
      </c>
      <c r="G181" s="16">
        <v>0.05</v>
      </c>
      <c r="H181" s="15"/>
      <c r="I181" s="16"/>
      <c r="J181" s="15"/>
      <c r="K181" s="16"/>
      <c r="L181" s="15"/>
      <c r="M181" s="16"/>
      <c r="N181" s="17"/>
      <c r="O181" s="16"/>
      <c r="P181" s="16"/>
      <c r="Q181" s="152">
        <f t="shared" si="97"/>
        <v>0</v>
      </c>
      <c r="R181" s="152">
        <f t="shared" si="98"/>
        <v>0</v>
      </c>
      <c r="S181" s="152">
        <f t="shared" si="99"/>
        <v>0</v>
      </c>
      <c r="T181" s="18">
        <f t="shared" si="112"/>
        <v>0.05</v>
      </c>
    </row>
    <row r="182" spans="2:20" x14ac:dyDescent="0.25">
      <c r="B182" s="117" t="s">
        <v>320</v>
      </c>
      <c r="C182" s="136" t="s">
        <v>321</v>
      </c>
      <c r="D182" s="14" t="s">
        <v>15</v>
      </c>
      <c r="E182" s="14" t="s">
        <v>16</v>
      </c>
      <c r="F182" s="15">
        <v>44886</v>
      </c>
      <c r="G182" s="16">
        <v>0.75</v>
      </c>
      <c r="H182" s="15"/>
      <c r="I182" s="16"/>
      <c r="J182" s="15"/>
      <c r="K182" s="16"/>
      <c r="L182" s="15"/>
      <c r="M182" s="16"/>
      <c r="N182" s="17"/>
      <c r="O182" s="16"/>
      <c r="P182" s="16"/>
      <c r="Q182" s="152">
        <f t="shared" si="97"/>
        <v>0</v>
      </c>
      <c r="R182" s="152">
        <f t="shared" si="98"/>
        <v>0</v>
      </c>
      <c r="S182" s="152">
        <f t="shared" si="99"/>
        <v>0</v>
      </c>
      <c r="T182" s="18">
        <f t="shared" si="112"/>
        <v>0.75</v>
      </c>
    </row>
    <row r="183" spans="2:20" x14ac:dyDescent="0.25">
      <c r="B183" s="117" t="s">
        <v>322</v>
      </c>
      <c r="C183" s="136" t="s">
        <v>323</v>
      </c>
      <c r="D183" s="14" t="s">
        <v>15</v>
      </c>
      <c r="E183" s="14" t="s">
        <v>16</v>
      </c>
      <c r="F183" s="15">
        <v>44676</v>
      </c>
      <c r="G183" s="16">
        <v>1.85</v>
      </c>
      <c r="H183" s="15"/>
      <c r="I183" s="16"/>
      <c r="J183" s="15"/>
      <c r="K183" s="16"/>
      <c r="L183" s="15"/>
      <c r="M183" s="16"/>
      <c r="N183" s="17"/>
      <c r="O183" s="16"/>
      <c r="P183" s="16"/>
      <c r="Q183" s="152">
        <f t="shared" si="97"/>
        <v>0</v>
      </c>
      <c r="R183" s="152">
        <f t="shared" si="98"/>
        <v>1.85</v>
      </c>
      <c r="S183" s="152">
        <f t="shared" si="99"/>
        <v>1.85</v>
      </c>
      <c r="T183" s="18">
        <f t="shared" si="112"/>
        <v>1.85</v>
      </c>
    </row>
    <row r="184" spans="2:20" x14ac:dyDescent="0.25">
      <c r="B184" s="117" t="s">
        <v>610</v>
      </c>
      <c r="C184" s="136" t="s">
        <v>326</v>
      </c>
      <c r="D184" s="45" t="s">
        <v>15</v>
      </c>
      <c r="E184" s="45" t="s">
        <v>16</v>
      </c>
      <c r="F184" s="15">
        <v>44602</v>
      </c>
      <c r="G184" s="16">
        <v>0.17</v>
      </c>
      <c r="H184" s="15"/>
      <c r="I184" s="16"/>
      <c r="J184" s="15"/>
      <c r="K184" s="16"/>
      <c r="L184" s="15"/>
      <c r="M184" s="16"/>
      <c r="N184" s="17"/>
      <c r="O184" s="16"/>
      <c r="P184" s="16"/>
      <c r="Q184" s="152">
        <f t="shared" si="97"/>
        <v>0.17</v>
      </c>
      <c r="R184" s="152">
        <f t="shared" si="98"/>
        <v>0.17</v>
      </c>
      <c r="S184" s="152">
        <f t="shared" si="99"/>
        <v>0.17</v>
      </c>
      <c r="T184" s="18">
        <f t="shared" si="112"/>
        <v>0.17</v>
      </c>
    </row>
    <row r="185" spans="2:20" x14ac:dyDescent="0.25">
      <c r="B185" s="117" t="s">
        <v>773</v>
      </c>
      <c r="C185" s="136" t="s">
        <v>774</v>
      </c>
      <c r="D185" s="45" t="s">
        <v>24</v>
      </c>
      <c r="E185" s="45" t="s">
        <v>16</v>
      </c>
      <c r="F185" s="15">
        <v>44697</v>
      </c>
      <c r="G185" s="16">
        <v>1.2</v>
      </c>
      <c r="H185" s="15"/>
      <c r="I185" s="16"/>
      <c r="J185" s="15"/>
      <c r="K185" s="16"/>
      <c r="L185" s="15"/>
      <c r="M185" s="63"/>
      <c r="N185" s="17"/>
      <c r="O185" s="16"/>
      <c r="P185" s="16"/>
      <c r="Q185" s="152">
        <f t="shared" si="97"/>
        <v>0</v>
      </c>
      <c r="R185" s="152">
        <f t="shared" si="98"/>
        <v>1.2</v>
      </c>
      <c r="S185" s="152">
        <f t="shared" si="99"/>
        <v>1.2</v>
      </c>
      <c r="T185" s="18">
        <f t="shared" si="112"/>
        <v>1.2</v>
      </c>
    </row>
    <row r="186" spans="2:20" x14ac:dyDescent="0.25">
      <c r="B186" s="117" t="s">
        <v>329</v>
      </c>
      <c r="C186" s="136" t="s">
        <v>330</v>
      </c>
      <c r="D186" s="14" t="s">
        <v>24</v>
      </c>
      <c r="E186" s="14" t="s">
        <v>16</v>
      </c>
      <c r="F186" s="153">
        <v>44698</v>
      </c>
      <c r="G186" s="154">
        <f>4.5/4</f>
        <v>1.125</v>
      </c>
      <c r="H186" s="15"/>
      <c r="I186" s="16"/>
      <c r="J186" s="15"/>
      <c r="K186" s="16"/>
      <c r="L186" s="15"/>
      <c r="M186" s="63"/>
      <c r="N186" s="17"/>
      <c r="O186" s="16"/>
      <c r="P186" s="16"/>
      <c r="Q186" s="152">
        <f t="shared" si="97"/>
        <v>0</v>
      </c>
      <c r="R186" s="152">
        <f t="shared" si="98"/>
        <v>1.125</v>
      </c>
      <c r="S186" s="152">
        <f t="shared" si="99"/>
        <v>1.125</v>
      </c>
      <c r="T186" s="18">
        <f t="shared" si="112"/>
        <v>1.125</v>
      </c>
    </row>
    <row r="187" spans="2:20" x14ac:dyDescent="0.25">
      <c r="B187" s="117" t="s">
        <v>779</v>
      </c>
      <c r="C187" s="136" t="s">
        <v>780</v>
      </c>
      <c r="D187" s="14" t="s">
        <v>755</v>
      </c>
      <c r="E187" s="14" t="s">
        <v>475</v>
      </c>
      <c r="F187" s="153">
        <v>44617</v>
      </c>
      <c r="G187" s="154">
        <f>1*0.99815753*0.99782849</f>
        <v>0.9959900209420296</v>
      </c>
      <c r="H187" s="153">
        <v>44701</v>
      </c>
      <c r="I187" s="154">
        <f>1.44*0.99782849</f>
        <v>1.4368730256</v>
      </c>
      <c r="J187" s="15">
        <v>44806</v>
      </c>
      <c r="K187" s="16">
        <v>2.2999999999999998</v>
      </c>
      <c r="L187" s="15">
        <v>44883</v>
      </c>
      <c r="M187" s="63">
        <v>1.7</v>
      </c>
      <c r="N187" s="17"/>
      <c r="O187" s="16"/>
      <c r="P187" s="16"/>
      <c r="Q187" s="152">
        <f t="shared" si="97"/>
        <v>0.9959900209420296</v>
      </c>
      <c r="R187" s="152">
        <f t="shared" si="98"/>
        <v>2.4328630465420296</v>
      </c>
      <c r="S187" s="152">
        <f t="shared" si="99"/>
        <v>4.7328630465420289</v>
      </c>
      <c r="T187" s="18">
        <f t="shared" si="112"/>
        <v>6.4328630465420291</v>
      </c>
    </row>
    <row r="188" spans="2:20" x14ac:dyDescent="0.25">
      <c r="B188" s="117" t="s">
        <v>885</v>
      </c>
      <c r="C188" s="136" t="s">
        <v>334</v>
      </c>
      <c r="D188" s="14" t="s">
        <v>15</v>
      </c>
      <c r="E188" s="14" t="s">
        <v>16</v>
      </c>
      <c r="F188" s="15">
        <v>44680</v>
      </c>
      <c r="G188" s="16">
        <v>11</v>
      </c>
      <c r="H188" s="15"/>
      <c r="I188" s="16"/>
      <c r="J188" s="15"/>
      <c r="K188" s="16"/>
      <c r="L188" s="15"/>
      <c r="M188" s="63"/>
      <c r="N188" s="17"/>
      <c r="O188" s="16"/>
      <c r="P188" s="16"/>
      <c r="Q188" s="152">
        <f t="shared" si="97"/>
        <v>0</v>
      </c>
      <c r="R188" s="152">
        <f t="shared" si="98"/>
        <v>11</v>
      </c>
      <c r="S188" s="152">
        <f t="shared" si="99"/>
        <v>11</v>
      </c>
      <c r="T188" s="18">
        <f t="shared" si="112"/>
        <v>11</v>
      </c>
    </row>
    <row r="189" spans="2:20" x14ac:dyDescent="0.25">
      <c r="B189" s="117" t="s">
        <v>335</v>
      </c>
      <c r="C189" s="136" t="s">
        <v>336</v>
      </c>
      <c r="D189" s="14" t="s">
        <v>15</v>
      </c>
      <c r="E189" s="14" t="s">
        <v>761</v>
      </c>
      <c r="F189" s="15">
        <v>44713</v>
      </c>
      <c r="G189" s="16">
        <v>33.76</v>
      </c>
      <c r="H189" s="15">
        <v>44889</v>
      </c>
      <c r="I189" s="16">
        <v>17.84</v>
      </c>
      <c r="J189" s="15"/>
      <c r="K189" s="16"/>
      <c r="L189" s="15"/>
      <c r="M189" s="63"/>
      <c r="N189" s="17"/>
      <c r="O189" s="16"/>
      <c r="P189" s="16"/>
      <c r="Q189" s="152">
        <f t="shared" si="97"/>
        <v>0</v>
      </c>
      <c r="R189" s="152">
        <f t="shared" si="98"/>
        <v>33.76</v>
      </c>
      <c r="S189" s="152">
        <f t="shared" si="99"/>
        <v>33.76</v>
      </c>
      <c r="T189" s="18">
        <f t="shared" si="112"/>
        <v>51.599999999999994</v>
      </c>
    </row>
    <row r="190" spans="2:20" x14ac:dyDescent="0.25">
      <c r="B190" s="117" t="s">
        <v>339</v>
      </c>
      <c r="C190" s="136" t="s">
        <v>340</v>
      </c>
      <c r="D190" s="14" t="s">
        <v>15</v>
      </c>
      <c r="E190" s="14" t="s">
        <v>16</v>
      </c>
      <c r="F190" s="15">
        <v>44651</v>
      </c>
      <c r="G190" s="16">
        <v>0.41</v>
      </c>
      <c r="H190" s="15">
        <v>44833</v>
      </c>
      <c r="I190" s="16">
        <v>0.41</v>
      </c>
      <c r="J190" s="40"/>
      <c r="K190" s="41"/>
      <c r="L190" s="40"/>
      <c r="M190" s="79"/>
      <c r="N190" s="42"/>
      <c r="O190" s="41"/>
      <c r="P190" s="41"/>
      <c r="Q190" s="152">
        <f t="shared" si="97"/>
        <v>0</v>
      </c>
      <c r="R190" s="152">
        <f t="shared" si="98"/>
        <v>0.41</v>
      </c>
      <c r="S190" s="152">
        <f t="shared" si="99"/>
        <v>0.41</v>
      </c>
      <c r="T190" s="18">
        <f t="shared" si="112"/>
        <v>0.82</v>
      </c>
    </row>
    <row r="191" spans="2:20" x14ac:dyDescent="0.25">
      <c r="B191" s="117" t="s">
        <v>341</v>
      </c>
      <c r="C191" s="136" t="s">
        <v>342</v>
      </c>
      <c r="D191" s="14" t="s">
        <v>15</v>
      </c>
      <c r="E191" s="14" t="s">
        <v>21</v>
      </c>
      <c r="F191" s="15">
        <v>44662</v>
      </c>
      <c r="G191" s="16">
        <v>2.8</v>
      </c>
      <c r="H191" s="15"/>
      <c r="I191" s="16"/>
      <c r="J191" s="15"/>
      <c r="K191" s="16"/>
      <c r="L191" s="15"/>
      <c r="M191" s="63"/>
      <c r="N191" s="17"/>
      <c r="O191" s="16"/>
      <c r="P191" s="16"/>
      <c r="Q191" s="152">
        <f t="shared" si="97"/>
        <v>0</v>
      </c>
      <c r="R191" s="152">
        <f t="shared" si="98"/>
        <v>2.8</v>
      </c>
      <c r="S191" s="152">
        <f t="shared" si="99"/>
        <v>2.8</v>
      </c>
      <c r="T191" s="18">
        <f t="shared" si="112"/>
        <v>2.8</v>
      </c>
    </row>
    <row r="192" spans="2:20" x14ac:dyDescent="0.25">
      <c r="B192" s="117" t="s">
        <v>343</v>
      </c>
      <c r="C192" s="136" t="s">
        <v>344</v>
      </c>
      <c r="D192" s="14" t="s">
        <v>15</v>
      </c>
      <c r="E192" s="14" t="s">
        <v>16</v>
      </c>
      <c r="F192" s="15">
        <v>44704</v>
      </c>
      <c r="G192" s="16">
        <v>1.56</v>
      </c>
      <c r="H192" s="15">
        <v>44788</v>
      </c>
      <c r="I192" s="16">
        <v>1</v>
      </c>
      <c r="J192" s="15"/>
      <c r="K192" s="16"/>
      <c r="L192" s="15"/>
      <c r="M192" s="63"/>
      <c r="N192" s="17"/>
      <c r="O192" s="16"/>
      <c r="P192" s="16"/>
      <c r="Q192" s="152">
        <f t="shared" si="97"/>
        <v>0</v>
      </c>
      <c r="R192" s="152">
        <f t="shared" si="98"/>
        <v>1.56</v>
      </c>
      <c r="S192" s="152">
        <f t="shared" si="99"/>
        <v>2.56</v>
      </c>
      <c r="T192" s="18">
        <f t="shared" si="112"/>
        <v>2.56</v>
      </c>
    </row>
    <row r="193" spans="2:20" x14ac:dyDescent="0.25">
      <c r="B193" s="117" t="s">
        <v>345</v>
      </c>
      <c r="C193" s="136" t="s">
        <v>346</v>
      </c>
      <c r="D193" s="14" t="s">
        <v>15</v>
      </c>
      <c r="E193" s="14" t="s">
        <v>16</v>
      </c>
      <c r="F193" s="46">
        <v>44683</v>
      </c>
      <c r="G193" s="47">
        <v>0.02</v>
      </c>
      <c r="H193" s="46">
        <v>44767</v>
      </c>
      <c r="I193" s="47">
        <v>0.02</v>
      </c>
      <c r="J193" s="46">
        <v>44858</v>
      </c>
      <c r="K193" s="47">
        <v>0.02</v>
      </c>
      <c r="L193" s="46"/>
      <c r="M193" s="80"/>
      <c r="N193" s="48"/>
      <c r="O193" s="47"/>
      <c r="P193" s="47"/>
      <c r="Q193" s="152">
        <f t="shared" si="97"/>
        <v>0</v>
      </c>
      <c r="R193" s="152">
        <f t="shared" si="98"/>
        <v>0.02</v>
      </c>
      <c r="S193" s="152">
        <f t="shared" si="99"/>
        <v>0.04</v>
      </c>
      <c r="T193" s="18">
        <f t="shared" si="112"/>
        <v>0.06</v>
      </c>
    </row>
    <row r="194" spans="2:20" x14ac:dyDescent="0.25">
      <c r="B194" s="117" t="s">
        <v>756</v>
      </c>
      <c r="C194" s="136" t="s">
        <v>757</v>
      </c>
      <c r="D194" s="14" t="s">
        <v>15</v>
      </c>
      <c r="E194" s="14" t="s">
        <v>16</v>
      </c>
      <c r="F194" s="46">
        <v>44680</v>
      </c>
      <c r="G194" s="47">
        <v>0.55000000000000004</v>
      </c>
      <c r="H194" s="46"/>
      <c r="I194" s="47"/>
      <c r="J194" s="46"/>
      <c r="K194" s="47"/>
      <c r="L194" s="46"/>
      <c r="M194" s="80"/>
      <c r="N194" s="48"/>
      <c r="O194" s="47"/>
      <c r="P194" s="47"/>
      <c r="Q194" s="152">
        <f t="shared" si="97"/>
        <v>0</v>
      </c>
      <c r="R194" s="152">
        <f t="shared" si="98"/>
        <v>0.55000000000000004</v>
      </c>
      <c r="S194" s="152">
        <f t="shared" si="99"/>
        <v>0.55000000000000004</v>
      </c>
      <c r="T194" s="18">
        <f t="shared" si="112"/>
        <v>0.55000000000000004</v>
      </c>
    </row>
    <row r="195" spans="2:20" x14ac:dyDescent="0.25">
      <c r="B195" s="117" t="s">
        <v>347</v>
      </c>
      <c r="C195" s="136" t="s">
        <v>348</v>
      </c>
      <c r="D195" s="14" t="s">
        <v>15</v>
      </c>
      <c r="E195" s="14" t="s">
        <v>16</v>
      </c>
      <c r="F195" s="46">
        <v>44645</v>
      </c>
      <c r="G195" s="47">
        <v>0.69</v>
      </c>
      <c r="H195" s="46"/>
      <c r="I195" s="47"/>
      <c r="J195" s="46"/>
      <c r="K195" s="47"/>
      <c r="L195" s="46"/>
      <c r="M195" s="80"/>
      <c r="N195" s="48"/>
      <c r="O195" s="47"/>
      <c r="P195" s="47"/>
      <c r="Q195" s="152">
        <f t="shared" si="97"/>
        <v>0</v>
      </c>
      <c r="R195" s="152">
        <f t="shared" si="98"/>
        <v>0.69</v>
      </c>
      <c r="S195" s="152">
        <f t="shared" si="99"/>
        <v>0.69</v>
      </c>
      <c r="T195" s="18">
        <f t="shared" si="112"/>
        <v>0.69</v>
      </c>
    </row>
    <row r="196" spans="2:20" x14ac:dyDescent="0.25">
      <c r="B196" s="117" t="s">
        <v>753</v>
      </c>
      <c r="C196" s="136" t="s">
        <v>754</v>
      </c>
      <c r="D196" s="14" t="s">
        <v>755</v>
      </c>
      <c r="E196" s="14" t="s">
        <v>475</v>
      </c>
      <c r="F196" s="153">
        <v>44692</v>
      </c>
      <c r="G196" s="154">
        <f>3.4*0.9701225*0.97666559</f>
        <v>3.221449897038235</v>
      </c>
      <c r="H196" s="46"/>
      <c r="I196" s="47"/>
      <c r="J196" s="46"/>
      <c r="K196" s="47"/>
      <c r="L196" s="46"/>
      <c r="M196" s="80"/>
      <c r="N196" s="48"/>
      <c r="O196" s="47"/>
      <c r="P196" s="47"/>
      <c r="Q196" s="152">
        <f t="shared" si="97"/>
        <v>0</v>
      </c>
      <c r="R196" s="152">
        <f t="shared" si="98"/>
        <v>3.221449897038235</v>
      </c>
      <c r="S196" s="152">
        <f t="shared" si="99"/>
        <v>3.221449897038235</v>
      </c>
      <c r="T196" s="18">
        <f t="shared" si="112"/>
        <v>3.221449897038235</v>
      </c>
    </row>
    <row r="197" spans="2:20" x14ac:dyDescent="0.25">
      <c r="B197" s="117" t="s">
        <v>696</v>
      </c>
      <c r="C197" s="136" t="s">
        <v>350</v>
      </c>
      <c r="D197" s="14" t="s">
        <v>15</v>
      </c>
      <c r="E197" s="14" t="s">
        <v>21</v>
      </c>
      <c r="F197" s="15">
        <v>44628</v>
      </c>
      <c r="G197" s="16">
        <v>3.1</v>
      </c>
      <c r="H197" s="15"/>
      <c r="I197" s="16"/>
      <c r="J197" s="15"/>
      <c r="K197" s="16"/>
      <c r="L197" s="15"/>
      <c r="M197" s="63"/>
      <c r="N197" s="17"/>
      <c r="O197" s="16"/>
      <c r="P197" s="16"/>
      <c r="Q197" s="152">
        <f t="shared" si="97"/>
        <v>3.1</v>
      </c>
      <c r="R197" s="152">
        <f t="shared" si="98"/>
        <v>3.1</v>
      </c>
      <c r="S197" s="152">
        <f t="shared" si="99"/>
        <v>3.1</v>
      </c>
      <c r="T197" s="18">
        <f t="shared" si="112"/>
        <v>3.1</v>
      </c>
    </row>
    <row r="198" spans="2:20" x14ac:dyDescent="0.25">
      <c r="B198" s="117" t="s">
        <v>734</v>
      </c>
      <c r="C198" s="136" t="s">
        <v>735</v>
      </c>
      <c r="D198" s="14" t="s">
        <v>15</v>
      </c>
      <c r="E198" s="14" t="s">
        <v>16</v>
      </c>
      <c r="F198" s="15">
        <v>44722</v>
      </c>
      <c r="G198" s="16">
        <v>2.2999999999999998</v>
      </c>
      <c r="H198" s="15"/>
      <c r="I198" s="16"/>
      <c r="J198" s="15"/>
      <c r="K198" s="16"/>
      <c r="L198" s="15"/>
      <c r="M198" s="63"/>
      <c r="N198" s="17"/>
      <c r="O198" s="16"/>
      <c r="P198" s="16"/>
      <c r="Q198" s="152">
        <f t="shared" si="97"/>
        <v>0</v>
      </c>
      <c r="R198" s="152">
        <f t="shared" si="98"/>
        <v>2.2999999999999998</v>
      </c>
      <c r="S198" s="152">
        <f t="shared" si="99"/>
        <v>2.2999999999999998</v>
      </c>
      <c r="T198" s="18">
        <f t="shared" si="112"/>
        <v>2.2999999999999998</v>
      </c>
    </row>
    <row r="199" spans="2:20" x14ac:dyDescent="0.25">
      <c r="B199" s="117" t="s">
        <v>353</v>
      </c>
      <c r="C199" s="136" t="s">
        <v>354</v>
      </c>
      <c r="D199" s="14" t="s">
        <v>24</v>
      </c>
      <c r="E199" s="14" t="s">
        <v>16</v>
      </c>
      <c r="F199" s="15">
        <v>44719</v>
      </c>
      <c r="G199" s="16">
        <v>0.4</v>
      </c>
      <c r="H199" s="15">
        <v>44900</v>
      </c>
      <c r="I199" s="16">
        <v>0.3</v>
      </c>
      <c r="J199" s="15"/>
      <c r="K199" s="16"/>
      <c r="L199" s="15"/>
      <c r="M199" s="63"/>
      <c r="N199" s="17"/>
      <c r="O199" s="16"/>
      <c r="P199" s="16"/>
      <c r="Q199" s="152">
        <f t="shared" si="97"/>
        <v>0</v>
      </c>
      <c r="R199" s="152">
        <f t="shared" si="98"/>
        <v>0.4</v>
      </c>
      <c r="S199" s="152">
        <f t="shared" si="99"/>
        <v>0.4</v>
      </c>
      <c r="T199" s="18">
        <f t="shared" si="112"/>
        <v>0.7</v>
      </c>
    </row>
    <row r="200" spans="2:20" x14ac:dyDescent="0.25">
      <c r="B200" s="117" t="s">
        <v>881</v>
      </c>
      <c r="C200" s="136" t="s">
        <v>882</v>
      </c>
      <c r="D200" s="14" t="s">
        <v>15</v>
      </c>
      <c r="E200" s="14" t="s">
        <v>21</v>
      </c>
      <c r="F200" s="15">
        <v>44711</v>
      </c>
      <c r="G200" s="16">
        <v>33</v>
      </c>
      <c r="H200" s="15"/>
      <c r="I200" s="16"/>
      <c r="J200" s="15"/>
      <c r="K200" s="16"/>
      <c r="L200" s="15"/>
      <c r="M200" s="16"/>
      <c r="N200" s="17"/>
      <c r="O200" s="16"/>
      <c r="P200" s="16"/>
      <c r="Q200" s="152">
        <f t="shared" si="97"/>
        <v>0</v>
      </c>
      <c r="R200" s="152">
        <f t="shared" si="98"/>
        <v>33</v>
      </c>
      <c r="S200" s="152">
        <f t="shared" si="99"/>
        <v>33</v>
      </c>
      <c r="T200" s="18">
        <f t="shared" si="112"/>
        <v>33</v>
      </c>
    </row>
    <row r="201" spans="2:20" x14ac:dyDescent="0.25">
      <c r="B201" s="117" t="s">
        <v>357</v>
      </c>
      <c r="C201" s="136" t="s">
        <v>358</v>
      </c>
      <c r="D201" s="14" t="s">
        <v>15</v>
      </c>
      <c r="E201" s="14" t="s">
        <v>761</v>
      </c>
      <c r="F201" s="15">
        <v>44644</v>
      </c>
      <c r="G201" s="16">
        <v>14.2</v>
      </c>
      <c r="H201" s="15">
        <v>44784</v>
      </c>
      <c r="I201" s="16">
        <v>6.6</v>
      </c>
      <c r="J201" s="15"/>
      <c r="K201" s="16"/>
      <c r="L201" s="15"/>
      <c r="M201" s="63"/>
      <c r="N201" s="17"/>
      <c r="O201" s="16"/>
      <c r="P201" s="16"/>
      <c r="Q201" s="152">
        <f t="shared" si="97"/>
        <v>0</v>
      </c>
      <c r="R201" s="152">
        <f t="shared" si="98"/>
        <v>14.2</v>
      </c>
      <c r="S201" s="152">
        <f t="shared" si="99"/>
        <v>20.799999999999997</v>
      </c>
      <c r="T201" s="18">
        <f t="shared" si="112"/>
        <v>20.799999999999997</v>
      </c>
    </row>
    <row r="202" spans="2:20" x14ac:dyDescent="0.25">
      <c r="B202" s="117" t="s">
        <v>359</v>
      </c>
      <c r="C202" s="136" t="s">
        <v>360</v>
      </c>
      <c r="D202" s="14" t="s">
        <v>24</v>
      </c>
      <c r="E202" s="14" t="s">
        <v>16</v>
      </c>
      <c r="F202" s="15">
        <v>44748</v>
      </c>
      <c r="G202" s="16">
        <v>1.56</v>
      </c>
      <c r="H202" s="15">
        <v>44890</v>
      </c>
      <c r="I202" s="16">
        <v>2.56</v>
      </c>
      <c r="J202" s="15"/>
      <c r="K202" s="16"/>
      <c r="L202" s="15"/>
      <c r="M202" s="63"/>
      <c r="N202" s="17"/>
      <c r="O202" s="16"/>
      <c r="P202" s="16"/>
      <c r="Q202" s="152">
        <f t="shared" si="97"/>
        <v>0</v>
      </c>
      <c r="R202" s="152">
        <f t="shared" si="98"/>
        <v>0</v>
      </c>
      <c r="S202" s="152">
        <f t="shared" si="99"/>
        <v>1.56</v>
      </c>
      <c r="T202" s="18">
        <f t="shared" si="112"/>
        <v>4.12</v>
      </c>
    </row>
    <row r="203" spans="2:20" x14ac:dyDescent="0.25">
      <c r="B203" s="117" t="s">
        <v>366</v>
      </c>
      <c r="C203" s="136" t="s">
        <v>367</v>
      </c>
      <c r="D203" s="14" t="s">
        <v>15</v>
      </c>
      <c r="E203" s="14" t="s">
        <v>16</v>
      </c>
      <c r="F203" s="15">
        <v>44693</v>
      </c>
      <c r="G203" s="16">
        <v>0.85</v>
      </c>
      <c r="H203" s="15"/>
      <c r="I203" s="16"/>
      <c r="J203" s="15"/>
      <c r="K203" s="16"/>
      <c r="L203" s="15"/>
      <c r="M203" s="63"/>
      <c r="N203" s="17"/>
      <c r="O203" s="16"/>
      <c r="P203" s="16"/>
      <c r="Q203" s="152">
        <f t="shared" si="97"/>
        <v>0</v>
      </c>
      <c r="R203" s="152">
        <f t="shared" si="98"/>
        <v>0.85</v>
      </c>
      <c r="S203" s="152">
        <f t="shared" si="99"/>
        <v>0.85</v>
      </c>
      <c r="T203" s="18">
        <f t="shared" si="112"/>
        <v>0.85</v>
      </c>
    </row>
    <row r="204" spans="2:20" x14ac:dyDescent="0.25">
      <c r="B204" s="117" t="s">
        <v>736</v>
      </c>
      <c r="C204" s="136" t="s">
        <v>737</v>
      </c>
      <c r="D204" s="14" t="s">
        <v>15</v>
      </c>
      <c r="E204" s="14" t="s">
        <v>16</v>
      </c>
      <c r="F204" s="15">
        <v>44732</v>
      </c>
      <c r="G204" s="16">
        <v>0.40500000000000003</v>
      </c>
      <c r="H204" s="15">
        <v>44886</v>
      </c>
      <c r="I204" s="16">
        <v>0.21</v>
      </c>
      <c r="J204" s="15"/>
      <c r="K204" s="16"/>
      <c r="L204" s="15"/>
      <c r="M204" s="63"/>
      <c r="N204" s="17"/>
      <c r="O204" s="16"/>
      <c r="P204" s="16"/>
      <c r="Q204" s="152">
        <f t="shared" si="97"/>
        <v>0</v>
      </c>
      <c r="R204" s="152">
        <f t="shared" si="98"/>
        <v>0</v>
      </c>
      <c r="S204" s="152">
        <f t="shared" si="99"/>
        <v>0.40500000000000003</v>
      </c>
      <c r="T204" s="18">
        <f t="shared" si="112"/>
        <v>0.61499999999999999</v>
      </c>
    </row>
    <row r="205" spans="2:20" x14ac:dyDescent="0.25">
      <c r="B205" s="117" t="s">
        <v>890</v>
      </c>
      <c r="C205" s="136" t="s">
        <v>891</v>
      </c>
      <c r="D205" s="14" t="s">
        <v>15</v>
      </c>
      <c r="E205" s="14" t="s">
        <v>16</v>
      </c>
      <c r="F205" s="15">
        <v>44672</v>
      </c>
      <c r="G205" s="16">
        <v>0.32</v>
      </c>
      <c r="H205" s="15">
        <v>44783</v>
      </c>
      <c r="I205" s="16">
        <v>0.14000000000000001</v>
      </c>
      <c r="J205" s="15"/>
      <c r="K205" s="16"/>
      <c r="L205" s="15"/>
      <c r="M205" s="63"/>
      <c r="N205" s="17"/>
      <c r="O205" s="16"/>
      <c r="P205" s="16"/>
      <c r="Q205" s="152">
        <f t="shared" ref="Q205" si="113">IF(F205&lt;=Exp22Q1,G205,0)+IF(H205&lt;=Exp22Q1,I205,0)+IF(J205&lt;=Exp22Q1,K205,0)+IF(L205&lt;=Exp22Q1,M205,0)+IF(N205&lt;=Exp22Q1,O205,0)</f>
        <v>0</v>
      </c>
      <c r="R205" s="152">
        <f t="shared" ref="R205" si="114">IF(F205&lt;=Exp22H1,G205,0)+IF(H205&lt;=Exp22H1,I205,0)+IF(J205&lt;=Exp22H1,K205,0)+IF(L205&lt;=Exp22H1,M205,0)+IF(N205&lt;=Exp22H1,O205,0)</f>
        <v>0.32</v>
      </c>
      <c r="S205" s="152">
        <f t="shared" ref="S205" si="115">IF(F205&lt;=Exp22Q3,G205,0)+IF(H205&lt;=Exp22Q3,I205,0)+IF(J205&lt;=Exp22Q3,K205,0)+IF(L205&lt;=Exp22Q3,M205,0)+IF(N205&lt;=Exp22Q3,O205,0)</f>
        <v>0.46</v>
      </c>
      <c r="T205" s="18">
        <f t="shared" ref="T205" si="116">G205+I205+K205+M205+O205</f>
        <v>0.46</v>
      </c>
    </row>
    <row r="206" spans="2:20" x14ac:dyDescent="0.25">
      <c r="B206" s="117" t="s">
        <v>370</v>
      </c>
      <c r="C206" s="136" t="s">
        <v>721</v>
      </c>
      <c r="D206" s="14" t="s">
        <v>15</v>
      </c>
      <c r="E206" s="14" t="s">
        <v>56</v>
      </c>
      <c r="F206" s="15">
        <v>44644</v>
      </c>
      <c r="G206" s="16">
        <v>0.1186</v>
      </c>
      <c r="H206" s="15">
        <v>44791</v>
      </c>
      <c r="I206" s="16">
        <v>5.74E-2</v>
      </c>
      <c r="J206" s="15"/>
      <c r="K206" s="16"/>
      <c r="L206" s="15"/>
      <c r="M206" s="63"/>
      <c r="N206" s="17"/>
      <c r="O206" s="16"/>
      <c r="P206" s="16"/>
      <c r="Q206" s="152">
        <f t="shared" si="97"/>
        <v>0</v>
      </c>
      <c r="R206" s="152">
        <f t="shared" si="98"/>
        <v>0.1186</v>
      </c>
      <c r="S206" s="152">
        <f t="shared" si="99"/>
        <v>0.17599999999999999</v>
      </c>
      <c r="T206" s="18">
        <f t="shared" si="112"/>
        <v>0.17599999999999999</v>
      </c>
    </row>
    <row r="207" spans="2:20" x14ac:dyDescent="0.25">
      <c r="B207" s="117" t="s">
        <v>758</v>
      </c>
      <c r="C207" s="136" t="s">
        <v>759</v>
      </c>
      <c r="D207" s="14" t="s">
        <v>15</v>
      </c>
      <c r="E207" s="14" t="s">
        <v>16</v>
      </c>
      <c r="F207" s="15">
        <v>44687</v>
      </c>
      <c r="G207" s="16">
        <v>0.8</v>
      </c>
      <c r="H207" s="15"/>
      <c r="I207" s="16"/>
      <c r="J207" s="15"/>
      <c r="K207" s="16"/>
      <c r="L207" s="15"/>
      <c r="M207" s="63"/>
      <c r="N207" s="17"/>
      <c r="O207" s="16"/>
      <c r="P207" s="16"/>
      <c r="Q207" s="152">
        <f t="shared" si="97"/>
        <v>0</v>
      </c>
      <c r="R207" s="152">
        <f t="shared" si="98"/>
        <v>0.8</v>
      </c>
      <c r="S207" s="152">
        <f t="shared" si="99"/>
        <v>0.8</v>
      </c>
      <c r="T207" s="18">
        <f t="shared" si="112"/>
        <v>0.8</v>
      </c>
    </row>
    <row r="208" spans="2:20" x14ac:dyDescent="0.25">
      <c r="B208" s="117" t="s">
        <v>368</v>
      </c>
      <c r="C208" s="136" t="s">
        <v>369</v>
      </c>
      <c r="D208" s="14" t="s">
        <v>27</v>
      </c>
      <c r="E208" s="14" t="s">
        <v>16</v>
      </c>
      <c r="F208" s="15">
        <v>44678</v>
      </c>
      <c r="G208" s="16">
        <v>0.7</v>
      </c>
      <c r="H208" s="15">
        <v>44902</v>
      </c>
      <c r="I208" s="16">
        <v>0.5</v>
      </c>
      <c r="J208" s="15"/>
      <c r="K208" s="16"/>
      <c r="L208" s="15"/>
      <c r="M208" s="16"/>
      <c r="N208" s="17"/>
      <c r="O208" s="16"/>
      <c r="P208" s="16"/>
      <c r="Q208" s="152">
        <f t="shared" si="97"/>
        <v>0</v>
      </c>
      <c r="R208" s="152">
        <f t="shared" si="98"/>
        <v>0.7</v>
      </c>
      <c r="S208" s="152">
        <f t="shared" si="99"/>
        <v>0.7</v>
      </c>
      <c r="T208" s="18">
        <f t="shared" si="112"/>
        <v>1.2</v>
      </c>
    </row>
    <row r="209" spans="2:20" x14ac:dyDescent="0.25">
      <c r="B209" s="117" t="s">
        <v>372</v>
      </c>
      <c r="C209" s="136" t="s">
        <v>373</v>
      </c>
      <c r="D209" s="14" t="s">
        <v>24</v>
      </c>
      <c r="E209" s="14" t="s">
        <v>16</v>
      </c>
      <c r="F209" s="15">
        <v>44746</v>
      </c>
      <c r="G209" s="16">
        <v>2.4</v>
      </c>
      <c r="H209" s="15"/>
      <c r="I209" s="16"/>
      <c r="J209" s="15"/>
      <c r="K209" s="16"/>
      <c r="L209" s="15"/>
      <c r="M209" s="63"/>
      <c r="N209" s="17"/>
      <c r="O209" s="16"/>
      <c r="P209" s="16"/>
      <c r="Q209" s="152">
        <f t="shared" si="97"/>
        <v>0</v>
      </c>
      <c r="R209" s="152">
        <f t="shared" si="98"/>
        <v>0</v>
      </c>
      <c r="S209" s="152">
        <f t="shared" si="99"/>
        <v>2.4</v>
      </c>
      <c r="T209" s="18">
        <f t="shared" si="112"/>
        <v>2.4</v>
      </c>
    </row>
    <row r="210" spans="2:20" x14ac:dyDescent="0.25">
      <c r="B210" s="117" t="s">
        <v>681</v>
      </c>
      <c r="C210" s="136" t="s">
        <v>682</v>
      </c>
      <c r="D210" s="14" t="s">
        <v>15</v>
      </c>
      <c r="E210" s="14" t="s">
        <v>16</v>
      </c>
      <c r="F210" s="15"/>
      <c r="G210" s="16"/>
      <c r="H210" s="15"/>
      <c r="I210" s="16"/>
      <c r="J210" s="15"/>
      <c r="K210" s="16"/>
      <c r="L210" s="15"/>
      <c r="M210" s="63"/>
      <c r="N210" s="17"/>
      <c r="O210" s="16"/>
      <c r="P210" s="16"/>
      <c r="Q210" s="152">
        <f t="shared" si="97"/>
        <v>0</v>
      </c>
      <c r="R210" s="152">
        <f t="shared" si="98"/>
        <v>0</v>
      </c>
      <c r="S210" s="152">
        <f t="shared" si="99"/>
        <v>0</v>
      </c>
      <c r="T210" s="18">
        <f t="shared" si="112"/>
        <v>0</v>
      </c>
    </row>
    <row r="211" spans="2:20" x14ac:dyDescent="0.25">
      <c r="B211" s="117" t="s">
        <v>620</v>
      </c>
      <c r="C211" s="136" t="s">
        <v>375</v>
      </c>
      <c r="D211" s="14" t="s">
        <v>15</v>
      </c>
      <c r="E211" s="14" t="s">
        <v>16</v>
      </c>
      <c r="F211" s="153">
        <v>44651</v>
      </c>
      <c r="G211" s="154">
        <f>2.19*0.93958289</f>
        <v>2.0576865290999997</v>
      </c>
      <c r="H211" s="15"/>
      <c r="I211" s="16"/>
      <c r="J211" s="15"/>
      <c r="K211" s="16"/>
      <c r="L211" s="15"/>
      <c r="M211" s="63"/>
      <c r="N211" s="17"/>
      <c r="O211" s="16"/>
      <c r="P211" s="16"/>
      <c r="Q211" s="152">
        <f t="shared" si="97"/>
        <v>0</v>
      </c>
      <c r="R211" s="152">
        <f t="shared" si="98"/>
        <v>2.0576865290999997</v>
      </c>
      <c r="S211" s="152">
        <f t="shared" si="99"/>
        <v>2.0576865290999997</v>
      </c>
      <c r="T211" s="18">
        <f t="shared" si="112"/>
        <v>2.0576865290999997</v>
      </c>
    </row>
    <row r="212" spans="2:20" x14ac:dyDescent="0.25">
      <c r="B212" s="117" t="s">
        <v>376</v>
      </c>
      <c r="C212" s="136" t="s">
        <v>377</v>
      </c>
      <c r="D212" s="14" t="s">
        <v>15</v>
      </c>
      <c r="E212" s="14" t="s">
        <v>761</v>
      </c>
      <c r="F212" s="15">
        <v>44679</v>
      </c>
      <c r="G212" s="16">
        <v>101.6</v>
      </c>
      <c r="H212" s="15">
        <v>44777</v>
      </c>
      <c r="I212" s="16">
        <v>73</v>
      </c>
      <c r="J212" s="15"/>
      <c r="K212" s="16"/>
      <c r="L212" s="15"/>
      <c r="M212" s="63"/>
      <c r="N212" s="17"/>
      <c r="O212" s="16"/>
      <c r="P212" s="16"/>
      <c r="Q212" s="152">
        <f t="shared" si="97"/>
        <v>0</v>
      </c>
      <c r="R212" s="152">
        <f t="shared" si="98"/>
        <v>101.6</v>
      </c>
      <c r="S212" s="152">
        <f t="shared" si="99"/>
        <v>174.6</v>
      </c>
      <c r="T212" s="18">
        <f t="shared" si="112"/>
        <v>174.6</v>
      </c>
    </row>
    <row r="213" spans="2:20" x14ac:dyDescent="0.25">
      <c r="B213" s="117" t="s">
        <v>378</v>
      </c>
      <c r="C213" s="136" t="s">
        <v>379</v>
      </c>
      <c r="D213" s="14" t="s">
        <v>15</v>
      </c>
      <c r="E213" s="14" t="s">
        <v>16</v>
      </c>
      <c r="F213" s="15">
        <v>44566</v>
      </c>
      <c r="G213" s="16">
        <v>0.2727</v>
      </c>
      <c r="H213" s="15">
        <v>44741</v>
      </c>
      <c r="I213" s="16">
        <v>0.72729999999999995</v>
      </c>
      <c r="J213" s="15"/>
      <c r="K213" s="16"/>
      <c r="L213" s="15"/>
      <c r="M213" s="63"/>
      <c r="N213" s="17"/>
      <c r="O213" s="16"/>
      <c r="P213" s="16"/>
      <c r="Q213" s="152">
        <f t="shared" si="97"/>
        <v>0.2727</v>
      </c>
      <c r="R213" s="152">
        <f t="shared" si="98"/>
        <v>0.2727</v>
      </c>
      <c r="S213" s="152">
        <f t="shared" si="99"/>
        <v>1</v>
      </c>
      <c r="T213" s="18">
        <f t="shared" si="112"/>
        <v>1</v>
      </c>
    </row>
    <row r="214" spans="2:20" x14ac:dyDescent="0.25">
      <c r="B214" s="117" t="s">
        <v>382</v>
      </c>
      <c r="C214" s="136" t="s">
        <v>381</v>
      </c>
      <c r="D214" s="45" t="s">
        <v>15</v>
      </c>
      <c r="E214" s="45" t="s">
        <v>16</v>
      </c>
      <c r="F214" s="15">
        <v>44679</v>
      </c>
      <c r="G214" s="16">
        <v>0.42149999999999999</v>
      </c>
      <c r="H214" s="15">
        <v>44777</v>
      </c>
      <c r="I214" s="16">
        <f>+I215/0.83629/100</f>
        <v>0.18773392005165671</v>
      </c>
      <c r="J214" s="15"/>
      <c r="K214" s="16"/>
      <c r="L214" s="15"/>
      <c r="M214" s="63"/>
      <c r="N214" s="17"/>
      <c r="O214" s="16"/>
      <c r="P214" s="16"/>
      <c r="Q214" s="152">
        <f t="shared" si="97"/>
        <v>0</v>
      </c>
      <c r="R214" s="152">
        <f t="shared" si="98"/>
        <v>0.42149999999999999</v>
      </c>
      <c r="S214" s="152">
        <f t="shared" si="99"/>
        <v>0.60923392005165666</v>
      </c>
      <c r="T214" s="18">
        <f t="shared" si="112"/>
        <v>0.60923392005165666</v>
      </c>
    </row>
    <row r="215" spans="2:20" x14ac:dyDescent="0.25">
      <c r="B215" s="117" t="s">
        <v>382</v>
      </c>
      <c r="C215" s="136" t="s">
        <v>383</v>
      </c>
      <c r="D215" s="45" t="s">
        <v>15</v>
      </c>
      <c r="E215" s="14" t="s">
        <v>761</v>
      </c>
      <c r="F215" s="15">
        <v>44679</v>
      </c>
      <c r="G215" s="16">
        <v>35.5</v>
      </c>
      <c r="H215" s="15">
        <v>44777</v>
      </c>
      <c r="I215" s="16">
        <v>15.7</v>
      </c>
      <c r="J215" s="15"/>
      <c r="K215" s="16"/>
      <c r="L215" s="15"/>
      <c r="M215" s="63"/>
      <c r="N215" s="17"/>
      <c r="O215" s="16"/>
      <c r="P215" s="16"/>
      <c r="Q215" s="152">
        <f t="shared" si="97"/>
        <v>0</v>
      </c>
      <c r="R215" s="152">
        <f t="shared" si="98"/>
        <v>35.5</v>
      </c>
      <c r="S215" s="152">
        <f t="shared" si="99"/>
        <v>51.2</v>
      </c>
      <c r="T215" s="18">
        <f t="shared" si="112"/>
        <v>51.2</v>
      </c>
    </row>
    <row r="216" spans="2:20" x14ac:dyDescent="0.25">
      <c r="B216" s="117" t="s">
        <v>384</v>
      </c>
      <c r="C216" s="136" t="s">
        <v>385</v>
      </c>
      <c r="D216" s="45" t="s">
        <v>24</v>
      </c>
      <c r="E216" s="14" t="s">
        <v>16</v>
      </c>
      <c r="F216" s="15"/>
      <c r="G216" s="16"/>
      <c r="H216" s="15"/>
      <c r="I216" s="16"/>
      <c r="J216" s="15"/>
      <c r="K216" s="16"/>
      <c r="L216" s="15"/>
      <c r="M216" s="63"/>
      <c r="N216" s="17"/>
      <c r="O216" s="16"/>
      <c r="P216" s="16"/>
      <c r="Q216" s="152">
        <f t="shared" si="97"/>
        <v>0</v>
      </c>
      <c r="R216" s="152">
        <f t="shared" si="98"/>
        <v>0</v>
      </c>
      <c r="S216" s="152">
        <f t="shared" si="99"/>
        <v>0</v>
      </c>
      <c r="T216" s="18">
        <f t="shared" si="112"/>
        <v>0</v>
      </c>
    </row>
    <row r="217" spans="2:20" x14ac:dyDescent="0.25">
      <c r="B217" s="117" t="s">
        <v>386</v>
      </c>
      <c r="C217" s="136" t="s">
        <v>387</v>
      </c>
      <c r="D217" s="14" t="s">
        <v>15</v>
      </c>
      <c r="E217" s="14" t="s">
        <v>16</v>
      </c>
      <c r="F217" s="15">
        <v>44568</v>
      </c>
      <c r="G217" s="16">
        <v>0.3</v>
      </c>
      <c r="H217" s="15">
        <v>44747</v>
      </c>
      <c r="I217" s="16">
        <v>0.33</v>
      </c>
      <c r="J217" s="15"/>
      <c r="K217" s="16"/>
      <c r="L217" s="15"/>
      <c r="M217" s="63"/>
      <c r="N217" s="17"/>
      <c r="O217" s="16"/>
      <c r="P217" s="16"/>
      <c r="Q217" s="152">
        <f t="shared" si="97"/>
        <v>0.3</v>
      </c>
      <c r="R217" s="152">
        <f t="shared" si="98"/>
        <v>0.3</v>
      </c>
      <c r="S217" s="152">
        <f t="shared" si="99"/>
        <v>0.63</v>
      </c>
      <c r="T217" s="18">
        <f t="shared" si="112"/>
        <v>0.63</v>
      </c>
    </row>
    <row r="218" spans="2:20" x14ac:dyDescent="0.25">
      <c r="B218" s="117" t="s">
        <v>388</v>
      </c>
      <c r="C218" s="136" t="s">
        <v>389</v>
      </c>
      <c r="D218" s="14" t="s">
        <v>15</v>
      </c>
      <c r="E218" s="14" t="s">
        <v>761</v>
      </c>
      <c r="F218" s="153">
        <v>44630</v>
      </c>
      <c r="G218" s="154">
        <f>306.72*0.99172456</f>
        <v>304.18175704320004</v>
      </c>
      <c r="H218" s="15">
        <v>44784</v>
      </c>
      <c r="I218" s="16">
        <v>221.63</v>
      </c>
      <c r="J218" s="15"/>
      <c r="K218" s="16"/>
      <c r="L218" s="15"/>
      <c r="M218" s="63"/>
      <c r="N218" s="17"/>
      <c r="O218" s="16"/>
      <c r="P218" s="16"/>
      <c r="Q218" s="152">
        <f t="shared" si="97"/>
        <v>304.18175704320004</v>
      </c>
      <c r="R218" s="152">
        <f t="shared" si="98"/>
        <v>304.18175704320004</v>
      </c>
      <c r="S218" s="152">
        <f t="shared" si="99"/>
        <v>525.81175704320003</v>
      </c>
      <c r="T218" s="18">
        <f t="shared" si="112"/>
        <v>525.81175704320003</v>
      </c>
    </row>
    <row r="219" spans="2:20" x14ac:dyDescent="0.25">
      <c r="B219" s="117" t="s">
        <v>390</v>
      </c>
      <c r="C219" s="136" t="s">
        <v>391</v>
      </c>
      <c r="D219" s="14" t="s">
        <v>15</v>
      </c>
      <c r="E219" s="14" t="s">
        <v>21</v>
      </c>
      <c r="F219" s="15">
        <v>44637</v>
      </c>
      <c r="G219" s="16">
        <v>9.3000000000000007</v>
      </c>
      <c r="H219" s="15"/>
      <c r="I219" s="16"/>
      <c r="J219" s="15"/>
      <c r="K219" s="16"/>
      <c r="L219" s="15"/>
      <c r="M219" s="63"/>
      <c r="N219" s="17"/>
      <c r="O219" s="16"/>
      <c r="P219" s="16"/>
      <c r="Q219" s="152">
        <f t="shared" si="97"/>
        <v>9.3000000000000007</v>
      </c>
      <c r="R219" s="152">
        <f t="shared" si="98"/>
        <v>9.3000000000000007</v>
      </c>
      <c r="S219" s="152">
        <f t="shared" si="99"/>
        <v>9.3000000000000007</v>
      </c>
      <c r="T219" s="18">
        <f t="shared" si="112"/>
        <v>9.3000000000000007</v>
      </c>
    </row>
    <row r="220" spans="2:20" x14ac:dyDescent="0.25">
      <c r="B220" s="117" t="s">
        <v>392</v>
      </c>
      <c r="C220" s="136" t="s">
        <v>393</v>
      </c>
      <c r="D220" s="14" t="s">
        <v>15</v>
      </c>
      <c r="E220" s="14" t="s">
        <v>761</v>
      </c>
      <c r="F220" s="15"/>
      <c r="G220" s="16"/>
      <c r="H220" s="15"/>
      <c r="I220" s="16"/>
      <c r="J220" s="15"/>
      <c r="K220" s="16"/>
      <c r="L220" s="15"/>
      <c r="M220" s="63"/>
      <c r="N220" s="17"/>
      <c r="O220" s="16"/>
      <c r="P220" s="16"/>
      <c r="Q220" s="152">
        <f t="shared" si="97"/>
        <v>0</v>
      </c>
      <c r="R220" s="152">
        <f t="shared" si="98"/>
        <v>0</v>
      </c>
      <c r="S220" s="152">
        <f t="shared" si="99"/>
        <v>0</v>
      </c>
      <c r="T220" s="18">
        <f t="shared" si="112"/>
        <v>0</v>
      </c>
    </row>
    <row r="221" spans="2:20" x14ac:dyDescent="0.25">
      <c r="B221" s="117" t="s">
        <v>822</v>
      </c>
      <c r="C221" s="136" t="s">
        <v>395</v>
      </c>
      <c r="D221" s="14" t="s">
        <v>15</v>
      </c>
      <c r="E221" s="14" t="s">
        <v>16</v>
      </c>
      <c r="F221" s="15">
        <v>44609</v>
      </c>
      <c r="G221" s="16">
        <v>0.21809999999999999</v>
      </c>
      <c r="H221" s="15">
        <v>44700</v>
      </c>
      <c r="I221" s="16">
        <v>0.2346</v>
      </c>
      <c r="J221" s="15">
        <v>44784</v>
      </c>
      <c r="K221" s="16">
        <v>0.24990000000000001</v>
      </c>
      <c r="L221" s="15">
        <v>44875</v>
      </c>
      <c r="M221" s="63">
        <v>0.23980000000000001</v>
      </c>
      <c r="N221" s="17"/>
      <c r="O221" s="16"/>
      <c r="P221" s="16"/>
      <c r="Q221" s="152">
        <f t="shared" si="97"/>
        <v>0.21809999999999999</v>
      </c>
      <c r="R221" s="152">
        <f t="shared" si="98"/>
        <v>0.45269999999999999</v>
      </c>
      <c r="S221" s="152">
        <f t="shared" si="99"/>
        <v>0.7026</v>
      </c>
      <c r="T221" s="18">
        <f t="shared" si="112"/>
        <v>0.94240000000000002</v>
      </c>
    </row>
    <row r="222" spans="2:20" x14ac:dyDescent="0.25">
      <c r="B222" s="117" t="s">
        <v>396</v>
      </c>
      <c r="C222" s="136" t="s">
        <v>397</v>
      </c>
      <c r="D222" s="14" t="s">
        <v>15</v>
      </c>
      <c r="E222" s="14" t="s">
        <v>16</v>
      </c>
      <c r="F222" s="15">
        <v>44680</v>
      </c>
      <c r="G222" s="16">
        <v>0.9</v>
      </c>
      <c r="H222" s="15"/>
      <c r="I222" s="16"/>
      <c r="J222" s="15"/>
      <c r="K222" s="16"/>
      <c r="L222" s="15"/>
      <c r="M222" s="63"/>
      <c r="N222" s="17"/>
      <c r="O222" s="16"/>
      <c r="P222" s="16"/>
      <c r="Q222" s="152">
        <f t="shared" si="97"/>
        <v>0</v>
      </c>
      <c r="R222" s="152">
        <f t="shared" si="98"/>
        <v>0.9</v>
      </c>
      <c r="S222" s="152">
        <f t="shared" si="99"/>
        <v>0.9</v>
      </c>
      <c r="T222" s="18">
        <f t="shared" si="112"/>
        <v>0.9</v>
      </c>
    </row>
    <row r="223" spans="2:20" x14ac:dyDescent="0.25">
      <c r="B223" s="117" t="s">
        <v>398</v>
      </c>
      <c r="C223" s="136" t="s">
        <v>399</v>
      </c>
      <c r="D223" s="14" t="s">
        <v>24</v>
      </c>
      <c r="E223" s="14" t="s">
        <v>16</v>
      </c>
      <c r="F223" s="15">
        <v>44712</v>
      </c>
      <c r="G223" s="16">
        <v>0.5</v>
      </c>
      <c r="H223" s="15"/>
      <c r="I223" s="16"/>
      <c r="J223" s="15"/>
      <c r="K223" s="16"/>
      <c r="L223" s="15"/>
      <c r="M223" s="63"/>
      <c r="N223" s="17"/>
      <c r="O223" s="16"/>
      <c r="P223" s="16"/>
      <c r="Q223" s="152">
        <f t="shared" si="97"/>
        <v>0</v>
      </c>
      <c r="R223" s="152">
        <f t="shared" si="98"/>
        <v>0.5</v>
      </c>
      <c r="S223" s="152">
        <f t="shared" si="99"/>
        <v>0.5</v>
      </c>
      <c r="T223" s="18">
        <f t="shared" si="112"/>
        <v>0.5</v>
      </c>
    </row>
    <row r="224" spans="2:20" x14ac:dyDescent="0.25">
      <c r="B224" s="117" t="s">
        <v>400</v>
      </c>
      <c r="C224" s="136" t="s">
        <v>401</v>
      </c>
      <c r="D224" s="14" t="s">
        <v>24</v>
      </c>
      <c r="E224" s="14" t="s">
        <v>16</v>
      </c>
      <c r="F224" s="15">
        <v>44718</v>
      </c>
      <c r="G224" s="16">
        <v>1.63</v>
      </c>
      <c r="H224" s="15"/>
      <c r="I224" s="16"/>
      <c r="J224" s="15"/>
      <c r="K224" s="16"/>
      <c r="L224" s="15"/>
      <c r="M224" s="63"/>
      <c r="N224" s="17"/>
      <c r="O224" s="16"/>
      <c r="P224" s="16"/>
      <c r="Q224" s="152">
        <f t="shared" si="97"/>
        <v>0</v>
      </c>
      <c r="R224" s="152">
        <f t="shared" si="98"/>
        <v>1.63</v>
      </c>
      <c r="S224" s="152">
        <f t="shared" si="99"/>
        <v>1.63</v>
      </c>
      <c r="T224" s="18">
        <f t="shared" si="112"/>
        <v>1.63</v>
      </c>
    </row>
    <row r="225" spans="2:20" x14ac:dyDescent="0.25">
      <c r="B225" s="117" t="s">
        <v>402</v>
      </c>
      <c r="C225" s="136" t="s">
        <v>403</v>
      </c>
      <c r="D225" s="14" t="s">
        <v>15</v>
      </c>
      <c r="E225" s="14" t="s">
        <v>16</v>
      </c>
      <c r="F225" s="15">
        <v>44704</v>
      </c>
      <c r="G225" s="16">
        <v>0.34</v>
      </c>
      <c r="H225" s="15"/>
      <c r="I225" s="16"/>
      <c r="J225" s="15"/>
      <c r="K225" s="16"/>
      <c r="L225" s="15"/>
      <c r="M225" s="63"/>
      <c r="N225" s="17"/>
      <c r="O225" s="16"/>
      <c r="P225" s="16"/>
      <c r="Q225" s="152">
        <f t="shared" si="97"/>
        <v>0</v>
      </c>
      <c r="R225" s="152">
        <f t="shared" si="98"/>
        <v>0.34</v>
      </c>
      <c r="S225" s="152">
        <f t="shared" si="99"/>
        <v>0.34</v>
      </c>
      <c r="T225" s="18">
        <f t="shared" si="112"/>
        <v>0.34</v>
      </c>
    </row>
    <row r="226" spans="2:20" x14ac:dyDescent="0.25">
      <c r="B226" s="117" t="s">
        <v>404</v>
      </c>
      <c r="C226" s="136" t="s">
        <v>405</v>
      </c>
      <c r="D226" s="14" t="s">
        <v>15</v>
      </c>
      <c r="E226" s="14" t="s">
        <v>16</v>
      </c>
      <c r="F226" s="153">
        <v>44700</v>
      </c>
      <c r="G226" s="154">
        <f>2.1*0.95475113</f>
        <v>2.004977373</v>
      </c>
      <c r="H226" s="15"/>
      <c r="I226" s="16"/>
      <c r="J226" s="15"/>
      <c r="K226" s="16"/>
      <c r="L226" s="15"/>
      <c r="M226" s="63"/>
      <c r="N226" s="17"/>
      <c r="O226" s="16"/>
      <c r="P226" s="16"/>
      <c r="Q226" s="152">
        <f t="shared" ref="Q226:Q287" si="117">IF(F226&lt;=Exp22Q1,G226,0)+IF(H226&lt;=Exp22Q1,I226,0)+IF(J226&lt;=Exp22Q1,K226,0)+IF(L226&lt;=Exp22Q1,M226,0)+IF(N226&lt;=Exp22Q1,O226,0)</f>
        <v>0</v>
      </c>
      <c r="R226" s="152">
        <f t="shared" ref="R226:R287" si="118">IF(F226&lt;=Exp22H1,G226,0)+IF(H226&lt;=Exp22H1,I226,0)+IF(J226&lt;=Exp22H1,K226,0)+IF(L226&lt;=Exp22H1,M226,0)+IF(N226&lt;=Exp22H1,O226,0)</f>
        <v>2.004977373</v>
      </c>
      <c r="S226" s="152">
        <f t="shared" ref="S226:S287" si="119">IF(F226&lt;=Exp22Q3,G226,0)+IF(H226&lt;=Exp22Q3,I226,0)+IF(J226&lt;=Exp22Q3,K226,0)+IF(L226&lt;=Exp22Q3,M226,0)+IF(N226&lt;=Exp22Q3,O226,0)</f>
        <v>2.004977373</v>
      </c>
      <c r="T226" s="18">
        <f t="shared" si="112"/>
        <v>2.004977373</v>
      </c>
    </row>
    <row r="227" spans="2:20" x14ac:dyDescent="0.25">
      <c r="B227" s="155" t="s">
        <v>840</v>
      </c>
      <c r="C227" s="156" t="s">
        <v>841</v>
      </c>
      <c r="D227" s="39" t="s">
        <v>15</v>
      </c>
      <c r="E227" s="39" t="s">
        <v>200</v>
      </c>
      <c r="F227" s="40">
        <v>44679</v>
      </c>
      <c r="G227" s="41">
        <v>4.75</v>
      </c>
      <c r="H227" s="40"/>
      <c r="I227" s="41"/>
      <c r="J227" s="40"/>
      <c r="K227" s="41"/>
      <c r="L227" s="40"/>
      <c r="M227" s="79"/>
      <c r="N227" s="42"/>
      <c r="O227" s="41"/>
      <c r="P227" s="41"/>
      <c r="Q227" s="157">
        <f t="shared" ref="Q227:Q228" si="120">IF(F227&lt;=Exp22Q1,G227,0)+IF(H227&lt;=Exp22Q1,I227,0)+IF(J227&lt;=Exp22Q1,K227,0)+IF(L227&lt;=Exp22Q1,M227,0)+IF(N227&lt;=Exp22Q1,O227,0)</f>
        <v>0</v>
      </c>
      <c r="R227" s="157">
        <f t="shared" ref="R227:R228" si="121">IF(F227&lt;=Exp22H1,G227,0)+IF(H227&lt;=Exp22H1,I227,0)+IF(J227&lt;=Exp22H1,K227,0)+IF(L227&lt;=Exp22H1,M227,0)+IF(N227&lt;=Exp22H1,O227,0)</f>
        <v>4.75</v>
      </c>
      <c r="S227" s="157">
        <f t="shared" ref="S227:S228" si="122">IF(F227&lt;=Exp22Q3,G227,0)+IF(H227&lt;=Exp22Q3,I227,0)+IF(J227&lt;=Exp22Q3,K227,0)+IF(L227&lt;=Exp22Q3,M227,0)+IF(N227&lt;=Exp22Q3,O227,0)</f>
        <v>4.75</v>
      </c>
      <c r="T227" s="43">
        <f t="shared" ref="T227:T228" si="123">G227+I227+K227+M227+O227</f>
        <v>4.75</v>
      </c>
    </row>
    <row r="228" spans="2:20" ht="15.75" thickBot="1" x14ac:dyDescent="0.3">
      <c r="B228" s="117" t="s">
        <v>406</v>
      </c>
      <c r="C228" s="136" t="s">
        <v>547</v>
      </c>
      <c r="D228" s="14" t="s">
        <v>24</v>
      </c>
      <c r="E228" s="14" t="s">
        <v>16</v>
      </c>
      <c r="F228" s="15">
        <v>44687</v>
      </c>
      <c r="G228" s="16">
        <v>3.33</v>
      </c>
      <c r="H228" s="15"/>
      <c r="I228" s="16"/>
      <c r="J228" s="15"/>
      <c r="K228" s="16"/>
      <c r="L228" s="15"/>
      <c r="M228" s="63"/>
      <c r="N228" s="17"/>
      <c r="O228" s="16"/>
      <c r="P228" s="16"/>
      <c r="Q228" s="152">
        <f t="shared" si="120"/>
        <v>0</v>
      </c>
      <c r="R228" s="152">
        <f t="shared" si="121"/>
        <v>3.33</v>
      </c>
      <c r="S228" s="152">
        <f t="shared" si="122"/>
        <v>3.33</v>
      </c>
      <c r="T228" s="18">
        <f t="shared" si="123"/>
        <v>3.33</v>
      </c>
    </row>
    <row r="229" spans="2:20" x14ac:dyDescent="0.25">
      <c r="B229" s="161" t="s">
        <v>855</v>
      </c>
      <c r="C229" s="171" t="s">
        <v>407</v>
      </c>
      <c r="D229" s="172" t="s">
        <v>24</v>
      </c>
      <c r="E229" s="172" t="s">
        <v>16</v>
      </c>
      <c r="F229" s="53">
        <v>44687</v>
      </c>
      <c r="G229" s="54">
        <v>3.33</v>
      </c>
      <c r="H229" s="53"/>
      <c r="I229" s="54"/>
      <c r="J229" s="53"/>
      <c r="K229" s="54"/>
      <c r="L229" s="53"/>
      <c r="M229" s="81"/>
      <c r="N229" s="55"/>
      <c r="O229" s="54"/>
      <c r="P229" s="54"/>
      <c r="Q229" s="165">
        <f t="shared" si="117"/>
        <v>0</v>
      </c>
      <c r="R229" s="165"/>
      <c r="S229" s="165"/>
      <c r="T229" s="166"/>
    </row>
    <row r="230" spans="2:20" ht="15.75" thickBot="1" x14ac:dyDescent="0.3">
      <c r="B230" s="163" t="s">
        <v>856</v>
      </c>
      <c r="C230" s="164" t="s">
        <v>407</v>
      </c>
      <c r="D230" s="58" t="s">
        <v>24</v>
      </c>
      <c r="E230" s="58" t="s">
        <v>16</v>
      </c>
      <c r="F230" s="59"/>
      <c r="G230" s="60"/>
      <c r="H230" s="59"/>
      <c r="I230" s="60"/>
      <c r="J230" s="59"/>
      <c r="K230" s="60"/>
      <c r="L230" s="59"/>
      <c r="M230" s="82"/>
      <c r="N230" s="61"/>
      <c r="O230" s="60"/>
      <c r="P230" s="60"/>
      <c r="Q230" s="167">
        <f>IF(F229&lt;=Exp22Q1,G229,0)+IF(H229&lt;=Exp22Q1,I229,0)+IF(J229&lt;=Exp22Q1,K229,0)+IF(L229&lt;=Exp22Q1,M229,0)+IF(N229&lt;=Exp22Q1,O229,0)+IF(F230&lt;=Exp22Q1,G230,0)+IF(H230&lt;=Exp22Q1,I230,0)+IF(J230&lt;=Exp22Q1,K230,0)+IF(L230&lt;=Exp22Q1,M230,0)+IF(N230&lt;=Exp22Q1,O230,0)</f>
        <v>0</v>
      </c>
      <c r="R230" s="167">
        <f>IF(F229&lt;=Exp22H1,G229,0)+IF(H229&lt;=Exp22H1,I229,0)+IF(J229&lt;=Exp22H1,K229,0)+IF(L229&lt;=Exp22H1,M229,0)+IF(N229&lt;=Exp22H1,O229,0)+IF(F230&lt;=Exp22H1,G230,0)+IF(H230&lt;=Exp22H1,I230,0)+IF(J230&lt;=Exp22H1,K230,0)+IF(L230&lt;=Exp22H1,M230,0)+IF(N230&lt;=Exp22H1,O230,0)</f>
        <v>3.33</v>
      </c>
      <c r="S230" s="167">
        <f>IF(F229&lt;=Exp22Q3,G229,0)+IF(H229&lt;=Exp22Q3,I229,0)+IF(J229&lt;=Exp22Q3,K229,0)+IF(L229&lt;=Exp22Q3,M229,0)+IF(N229&lt;=Exp22Q3,O229,0)+IF(F230&lt;=Exp22Q3,G230,0)+IF(H230&lt;=Exp22Q3,I230,0)+IF(J230&lt;=Exp22Q3,K230,0)+IF(L230&lt;=Exp22Q3,M230,0)+IF(N230&lt;=Exp22Q3,O230,0)</f>
        <v>3.33</v>
      </c>
      <c r="T230" s="168">
        <f>G229+I229+K229+M229+O229+(G230+I230+K230+M230+O230)</f>
        <v>3.33</v>
      </c>
    </row>
    <row r="231" spans="2:20" x14ac:dyDescent="0.25">
      <c r="B231" s="158" t="s">
        <v>408</v>
      </c>
      <c r="C231" s="159" t="s">
        <v>409</v>
      </c>
      <c r="D231" s="45" t="s">
        <v>15</v>
      </c>
      <c r="E231" s="45" t="s">
        <v>16</v>
      </c>
      <c r="F231" s="153">
        <v>44700</v>
      </c>
      <c r="G231" s="154">
        <f>1.95*0.99441653</f>
        <v>1.9391122334999999</v>
      </c>
      <c r="H231" s="46"/>
      <c r="I231" s="47"/>
      <c r="J231" s="46"/>
      <c r="K231" s="47"/>
      <c r="L231" s="46"/>
      <c r="M231" s="80"/>
      <c r="N231" s="48"/>
      <c r="O231" s="47"/>
      <c r="P231" s="47"/>
      <c r="Q231" s="160">
        <f t="shared" si="117"/>
        <v>0</v>
      </c>
      <c r="R231" s="160">
        <f t="shared" si="118"/>
        <v>1.9391122334999999</v>
      </c>
      <c r="S231" s="160">
        <f t="shared" si="119"/>
        <v>1.9391122334999999</v>
      </c>
      <c r="T231" s="49">
        <f t="shared" si="112"/>
        <v>1.9391122334999999</v>
      </c>
    </row>
    <row r="232" spans="2:20" x14ac:dyDescent="0.25">
      <c r="B232" s="117" t="s">
        <v>410</v>
      </c>
      <c r="C232" s="136" t="s">
        <v>411</v>
      </c>
      <c r="D232" s="14" t="s">
        <v>15</v>
      </c>
      <c r="E232" s="14" t="s">
        <v>16</v>
      </c>
      <c r="F232" s="15">
        <v>44659</v>
      </c>
      <c r="G232" s="16">
        <v>0.91369999999999996</v>
      </c>
      <c r="H232" s="15"/>
      <c r="I232" s="16"/>
      <c r="J232" s="15"/>
      <c r="K232" s="16"/>
      <c r="L232" s="15"/>
      <c r="M232" s="63"/>
      <c r="N232" s="17"/>
      <c r="O232" s="16"/>
      <c r="P232" s="16"/>
      <c r="Q232" s="152">
        <f t="shared" si="117"/>
        <v>0</v>
      </c>
      <c r="R232" s="152">
        <f t="shared" si="118"/>
        <v>0.91369999999999996</v>
      </c>
      <c r="S232" s="152">
        <f t="shared" si="119"/>
        <v>0.91369999999999996</v>
      </c>
      <c r="T232" s="18">
        <f t="shared" si="112"/>
        <v>0.91369999999999996</v>
      </c>
    </row>
    <row r="233" spans="2:20" x14ac:dyDescent="0.25">
      <c r="B233" s="117" t="s">
        <v>412</v>
      </c>
      <c r="C233" s="136" t="s">
        <v>413</v>
      </c>
      <c r="D233" s="14" t="s">
        <v>24</v>
      </c>
      <c r="E233" s="14" t="s">
        <v>16</v>
      </c>
      <c r="F233" s="15">
        <v>44698</v>
      </c>
      <c r="G233" s="16">
        <v>2.9</v>
      </c>
      <c r="H233" s="15"/>
      <c r="I233" s="16"/>
      <c r="J233" s="15"/>
      <c r="K233" s="16"/>
      <c r="L233" s="15"/>
      <c r="M233" s="63"/>
      <c r="N233" s="17"/>
      <c r="O233" s="16"/>
      <c r="P233" s="16"/>
      <c r="Q233" s="152">
        <f t="shared" si="117"/>
        <v>0</v>
      </c>
      <c r="R233" s="152">
        <f t="shared" si="118"/>
        <v>2.9</v>
      </c>
      <c r="S233" s="152">
        <f t="shared" si="119"/>
        <v>2.9</v>
      </c>
      <c r="T233" s="18">
        <f t="shared" si="112"/>
        <v>2.9</v>
      </c>
    </row>
    <row r="234" spans="2:20" x14ac:dyDescent="0.25">
      <c r="B234" s="117" t="s">
        <v>414</v>
      </c>
      <c r="C234" s="136" t="s">
        <v>415</v>
      </c>
      <c r="D234" s="14" t="s">
        <v>24</v>
      </c>
      <c r="E234" s="14" t="s">
        <v>16</v>
      </c>
      <c r="F234" s="15">
        <v>44701</v>
      </c>
      <c r="G234" s="16">
        <v>1.8</v>
      </c>
      <c r="H234" s="15"/>
      <c r="I234" s="16"/>
      <c r="J234" s="15"/>
      <c r="K234" s="16"/>
      <c r="L234" s="15"/>
      <c r="M234" s="63"/>
      <c r="N234" s="17"/>
      <c r="O234" s="16"/>
      <c r="P234" s="16"/>
      <c r="Q234" s="152">
        <f t="shared" si="117"/>
        <v>0</v>
      </c>
      <c r="R234" s="152">
        <f t="shared" si="118"/>
        <v>1.8</v>
      </c>
      <c r="S234" s="152">
        <f t="shared" si="119"/>
        <v>1.8</v>
      </c>
      <c r="T234" s="18">
        <f t="shared" si="112"/>
        <v>1.8</v>
      </c>
    </row>
    <row r="235" spans="2:20" x14ac:dyDescent="0.25">
      <c r="B235" s="117" t="s">
        <v>888</v>
      </c>
      <c r="C235" s="136" t="s">
        <v>889</v>
      </c>
      <c r="D235" s="14" t="s">
        <v>15</v>
      </c>
      <c r="E235" s="14" t="s">
        <v>200</v>
      </c>
      <c r="F235" s="153">
        <v>44687</v>
      </c>
      <c r="G235" s="154">
        <f>4.4*0.83150214</f>
        <v>3.6586094160000004</v>
      </c>
      <c r="H235" s="15"/>
      <c r="I235" s="16"/>
      <c r="J235" s="15"/>
      <c r="K235" s="16"/>
      <c r="L235" s="15"/>
      <c r="M235" s="63"/>
      <c r="N235" s="17"/>
      <c r="O235" s="16"/>
      <c r="P235" s="16"/>
      <c r="Q235" s="152">
        <f t="shared" ref="Q235" si="124">IF(F235&lt;=Exp22Q1,G235,0)+IF(H235&lt;=Exp22Q1,I235,0)+IF(J235&lt;=Exp22Q1,K235,0)+IF(L235&lt;=Exp22Q1,M235,0)+IF(N235&lt;=Exp22Q1,O235,0)</f>
        <v>0</v>
      </c>
      <c r="R235" s="152">
        <f t="shared" ref="R235" si="125">IF(F235&lt;=Exp22H1,G235,0)+IF(H235&lt;=Exp22H1,I235,0)+IF(J235&lt;=Exp22H1,K235,0)+IF(L235&lt;=Exp22H1,M235,0)+IF(N235&lt;=Exp22H1,O235,0)</f>
        <v>3.6586094160000004</v>
      </c>
      <c r="S235" s="152">
        <f t="shared" ref="S235" si="126">IF(F235&lt;=Exp22Q3,G235,0)+IF(H235&lt;=Exp22Q3,I235,0)+IF(J235&lt;=Exp22Q3,K235,0)+IF(L235&lt;=Exp22Q3,M235,0)+IF(N235&lt;=Exp22Q3,O235,0)</f>
        <v>3.6586094160000004</v>
      </c>
      <c r="T235" s="18">
        <f t="shared" ref="T235" si="127">G235+I235+K235+M235+O235</f>
        <v>3.6586094160000004</v>
      </c>
    </row>
    <row r="236" spans="2:20" x14ac:dyDescent="0.25">
      <c r="B236" s="117" t="s">
        <v>418</v>
      </c>
      <c r="C236" s="136" t="s">
        <v>419</v>
      </c>
      <c r="D236" s="14" t="s">
        <v>15</v>
      </c>
      <c r="E236" s="14" t="s">
        <v>761</v>
      </c>
      <c r="F236" s="15">
        <v>44713</v>
      </c>
      <c r="G236" s="16">
        <v>61.28</v>
      </c>
      <c r="H236" s="15">
        <v>44896</v>
      </c>
      <c r="I236" s="16">
        <v>42.73</v>
      </c>
      <c r="J236" s="15"/>
      <c r="K236" s="16"/>
      <c r="L236" s="15"/>
      <c r="M236" s="63"/>
      <c r="N236" s="17"/>
      <c r="O236" s="16"/>
      <c r="P236" s="16"/>
      <c r="Q236" s="152">
        <f t="shared" si="117"/>
        <v>0</v>
      </c>
      <c r="R236" s="152">
        <f t="shared" si="118"/>
        <v>61.28</v>
      </c>
      <c r="S236" s="152">
        <f t="shared" si="119"/>
        <v>61.28</v>
      </c>
      <c r="T236" s="18">
        <f>G236+I236+K236+M236+O236</f>
        <v>104.00999999999999</v>
      </c>
    </row>
    <row r="237" spans="2:20" x14ac:dyDescent="0.25">
      <c r="B237" s="155" t="s">
        <v>420</v>
      </c>
      <c r="C237" s="156" t="s">
        <v>421</v>
      </c>
      <c r="D237" s="39" t="s">
        <v>15</v>
      </c>
      <c r="E237" s="39" t="s">
        <v>21</v>
      </c>
      <c r="F237" s="40">
        <v>44651</v>
      </c>
      <c r="G237" s="41">
        <v>80</v>
      </c>
      <c r="H237" s="40"/>
      <c r="I237" s="41"/>
      <c r="J237" s="40"/>
      <c r="K237" s="41"/>
      <c r="L237" s="40"/>
      <c r="M237" s="79"/>
      <c r="N237" s="42"/>
      <c r="O237" s="41"/>
      <c r="P237" s="41"/>
      <c r="Q237" s="157">
        <f t="shared" si="117"/>
        <v>0</v>
      </c>
      <c r="R237" s="157">
        <f t="shared" si="118"/>
        <v>80</v>
      </c>
      <c r="S237" s="157">
        <f t="shared" si="119"/>
        <v>80</v>
      </c>
      <c r="T237" s="43">
        <f t="shared" si="112"/>
        <v>80</v>
      </c>
    </row>
    <row r="238" spans="2:20" x14ac:dyDescent="0.25">
      <c r="B238" s="117" t="s">
        <v>738</v>
      </c>
      <c r="C238" s="136" t="s">
        <v>740</v>
      </c>
      <c r="D238" s="39" t="s">
        <v>15</v>
      </c>
      <c r="E238" s="14" t="s">
        <v>16</v>
      </c>
      <c r="F238" s="15">
        <v>44603</v>
      </c>
      <c r="G238" s="16">
        <v>4</v>
      </c>
      <c r="H238" s="15"/>
      <c r="I238" s="16"/>
      <c r="J238" s="15"/>
      <c r="K238" s="16"/>
      <c r="L238" s="15"/>
      <c r="M238" s="63"/>
      <c r="N238" s="17"/>
      <c r="O238" s="16"/>
      <c r="P238" s="16"/>
      <c r="Q238" s="152">
        <f t="shared" si="117"/>
        <v>4</v>
      </c>
      <c r="R238" s="152">
        <f t="shared" si="118"/>
        <v>4</v>
      </c>
      <c r="S238" s="152">
        <f t="shared" si="119"/>
        <v>4</v>
      </c>
      <c r="T238" s="18">
        <f t="shared" si="112"/>
        <v>4</v>
      </c>
    </row>
    <row r="239" spans="2:20" x14ac:dyDescent="0.25">
      <c r="B239" s="155" t="s">
        <v>739</v>
      </c>
      <c r="C239" s="156" t="s">
        <v>741</v>
      </c>
      <c r="D239" s="39" t="s">
        <v>15</v>
      </c>
      <c r="E239" s="39" t="s">
        <v>16</v>
      </c>
      <c r="F239" s="40">
        <v>44617</v>
      </c>
      <c r="G239" s="41">
        <v>0.1</v>
      </c>
      <c r="H239" s="40"/>
      <c r="I239" s="41"/>
      <c r="J239" s="40"/>
      <c r="K239" s="41"/>
      <c r="L239" s="40"/>
      <c r="M239" s="79"/>
      <c r="N239" s="42"/>
      <c r="O239" s="41"/>
      <c r="P239" s="41"/>
      <c r="Q239" s="157">
        <f t="shared" si="117"/>
        <v>0.1</v>
      </c>
      <c r="R239" s="157">
        <f t="shared" si="118"/>
        <v>0.1</v>
      </c>
      <c r="S239" s="157">
        <f t="shared" si="119"/>
        <v>0.1</v>
      </c>
      <c r="T239" s="43">
        <f t="shared" si="112"/>
        <v>0.1</v>
      </c>
    </row>
    <row r="240" spans="2:20" x14ac:dyDescent="0.25">
      <c r="B240" s="117" t="s">
        <v>771</v>
      </c>
      <c r="C240" s="136" t="s">
        <v>772</v>
      </c>
      <c r="D240" s="39" t="s">
        <v>15</v>
      </c>
      <c r="E240" s="14" t="s">
        <v>16</v>
      </c>
      <c r="F240" s="15">
        <v>44700</v>
      </c>
      <c r="G240" s="16">
        <v>1.45</v>
      </c>
      <c r="H240" s="15"/>
      <c r="I240" s="16"/>
      <c r="J240" s="15"/>
      <c r="K240" s="16"/>
      <c r="L240" s="15"/>
      <c r="M240" s="63"/>
      <c r="N240" s="17"/>
      <c r="O240" s="16"/>
      <c r="P240" s="16"/>
      <c r="Q240" s="152">
        <f t="shared" si="117"/>
        <v>0</v>
      </c>
      <c r="R240" s="152">
        <f t="shared" si="118"/>
        <v>1.45</v>
      </c>
      <c r="S240" s="152">
        <f t="shared" si="119"/>
        <v>1.45</v>
      </c>
      <c r="T240" s="18">
        <f t="shared" ref="T240:T242" si="128">G240+I240+K240+M240+O240</f>
        <v>1.45</v>
      </c>
    </row>
    <row r="241" spans="2:20" x14ac:dyDescent="0.25">
      <c r="B241" s="117" t="s">
        <v>879</v>
      </c>
      <c r="C241" s="136" t="s">
        <v>880</v>
      </c>
      <c r="D241" s="14" t="s">
        <v>15</v>
      </c>
      <c r="E241" s="14" t="s">
        <v>21</v>
      </c>
      <c r="F241" s="15">
        <v>44665</v>
      </c>
      <c r="G241" s="16">
        <v>2.9</v>
      </c>
      <c r="H241" s="15"/>
      <c r="I241" s="16"/>
      <c r="J241" s="15"/>
      <c r="K241" s="16"/>
      <c r="L241" s="15"/>
      <c r="M241" s="16"/>
      <c r="N241" s="17"/>
      <c r="O241" s="16"/>
      <c r="P241" s="16"/>
      <c r="Q241" s="152">
        <f t="shared" si="117"/>
        <v>0</v>
      </c>
      <c r="R241" s="152">
        <f t="shared" si="118"/>
        <v>2.9</v>
      </c>
      <c r="S241" s="152">
        <f t="shared" si="119"/>
        <v>2.9</v>
      </c>
      <c r="T241" s="18">
        <f t="shared" si="128"/>
        <v>2.9</v>
      </c>
    </row>
    <row r="242" spans="2:20" x14ac:dyDescent="0.25">
      <c r="B242" s="158" t="s">
        <v>850</v>
      </c>
      <c r="C242" s="159" t="s">
        <v>848</v>
      </c>
      <c r="D242" s="39" t="s">
        <v>15</v>
      </c>
      <c r="E242" s="45" t="s">
        <v>849</v>
      </c>
      <c r="F242" s="46"/>
      <c r="G242" s="47"/>
      <c r="H242" s="46"/>
      <c r="I242" s="47"/>
      <c r="J242" s="46"/>
      <c r="K242" s="47"/>
      <c r="L242" s="46"/>
      <c r="M242" s="80"/>
      <c r="N242" s="48"/>
      <c r="O242" s="47"/>
      <c r="P242" s="47"/>
      <c r="Q242" s="152">
        <f t="shared" si="117"/>
        <v>0</v>
      </c>
      <c r="R242" s="152">
        <f t="shared" si="118"/>
        <v>0</v>
      </c>
      <c r="S242" s="152">
        <f t="shared" si="119"/>
        <v>0</v>
      </c>
      <c r="T242" s="18">
        <f t="shared" si="128"/>
        <v>0</v>
      </c>
    </row>
    <row r="243" spans="2:20" x14ac:dyDescent="0.25">
      <c r="B243" s="158" t="s">
        <v>426</v>
      </c>
      <c r="C243" s="159" t="s">
        <v>427</v>
      </c>
      <c r="D243" s="39" t="s">
        <v>15</v>
      </c>
      <c r="E243" s="45" t="s">
        <v>200</v>
      </c>
      <c r="F243" s="46">
        <v>44643</v>
      </c>
      <c r="G243" s="47">
        <v>6</v>
      </c>
      <c r="H243" s="46"/>
      <c r="I243" s="47"/>
      <c r="J243" s="46"/>
      <c r="K243" s="47"/>
      <c r="L243" s="46"/>
      <c r="M243" s="80"/>
      <c r="N243" s="48"/>
      <c r="O243" s="47"/>
      <c r="P243" s="47"/>
      <c r="Q243" s="160">
        <f t="shared" si="117"/>
        <v>0</v>
      </c>
      <c r="R243" s="160">
        <f t="shared" si="118"/>
        <v>6</v>
      </c>
      <c r="S243" s="160">
        <f t="shared" si="119"/>
        <v>6</v>
      </c>
      <c r="T243" s="49">
        <f t="shared" si="112"/>
        <v>6</v>
      </c>
    </row>
    <row r="244" spans="2:20" x14ac:dyDescent="0.25">
      <c r="B244" s="158" t="s">
        <v>838</v>
      </c>
      <c r="C244" s="159" t="s">
        <v>839</v>
      </c>
      <c r="D244" s="39" t="s">
        <v>15</v>
      </c>
      <c r="E244" s="45" t="s">
        <v>200</v>
      </c>
      <c r="F244" s="153">
        <v>44650</v>
      </c>
      <c r="G244" s="154">
        <f>7*0.98642534</f>
        <v>6.9049773800000001</v>
      </c>
      <c r="H244" s="46"/>
      <c r="I244" s="47"/>
      <c r="J244" s="46"/>
      <c r="K244" s="47"/>
      <c r="L244" s="46"/>
      <c r="M244" s="80"/>
      <c r="N244" s="48"/>
      <c r="O244" s="47"/>
      <c r="P244" s="47"/>
      <c r="Q244" s="160">
        <f t="shared" ref="Q244" si="129">IF(F244&lt;=Exp22Q1,G244,0)+IF(H244&lt;=Exp22Q1,I244,0)+IF(J244&lt;=Exp22Q1,K244,0)+IF(L244&lt;=Exp22Q1,M244,0)+IF(N244&lt;=Exp22Q1,O244,0)</f>
        <v>0</v>
      </c>
      <c r="R244" s="160">
        <f t="shared" ref="R244" si="130">IF(F244&lt;=Exp22H1,G244,0)+IF(H244&lt;=Exp22H1,I244,0)+IF(J244&lt;=Exp22H1,K244,0)+IF(L244&lt;=Exp22H1,M244,0)+IF(N244&lt;=Exp22H1,O244,0)</f>
        <v>6.9049773800000001</v>
      </c>
      <c r="S244" s="160">
        <f t="shared" ref="S244" si="131">IF(F244&lt;=Exp22Q3,G244,0)+IF(H244&lt;=Exp22Q3,I244,0)+IF(J244&lt;=Exp22Q3,K244,0)+IF(L244&lt;=Exp22Q3,M244,0)+IF(N244&lt;=Exp22Q3,O244,0)</f>
        <v>6.9049773800000001</v>
      </c>
      <c r="T244" s="49">
        <f t="shared" ref="T244" si="132">G244+I244+K244+M244+O244</f>
        <v>6.9049773800000001</v>
      </c>
    </row>
    <row r="245" spans="2:20" x14ac:dyDescent="0.25">
      <c r="B245" s="158" t="s">
        <v>842</v>
      </c>
      <c r="C245" s="159" t="s">
        <v>843</v>
      </c>
      <c r="D245" s="39" t="s">
        <v>15</v>
      </c>
      <c r="E245" s="45" t="s">
        <v>200</v>
      </c>
      <c r="F245" s="46">
        <v>44645</v>
      </c>
      <c r="G245" s="47">
        <v>7</v>
      </c>
      <c r="H245" s="46"/>
      <c r="I245" s="47"/>
      <c r="J245" s="46"/>
      <c r="K245" s="47"/>
      <c r="L245" s="46"/>
      <c r="M245" s="80"/>
      <c r="N245" s="48"/>
      <c r="O245" s="47"/>
      <c r="P245" s="47"/>
      <c r="Q245" s="160">
        <f t="shared" ref="Q245" si="133">IF(F245&lt;=Exp22Q1,G245,0)+IF(H245&lt;=Exp22Q1,I245,0)+IF(J245&lt;=Exp22Q1,K245,0)+IF(L245&lt;=Exp22Q1,M245,0)+IF(N245&lt;=Exp22Q1,O245,0)</f>
        <v>0</v>
      </c>
      <c r="R245" s="160">
        <f t="shared" ref="R245" si="134">IF(F245&lt;=Exp22H1,G245,0)+IF(H245&lt;=Exp22H1,I245,0)+IF(J245&lt;=Exp22H1,K245,0)+IF(L245&lt;=Exp22H1,M245,0)+IF(N245&lt;=Exp22H1,O245,0)</f>
        <v>7</v>
      </c>
      <c r="S245" s="160">
        <f t="shared" ref="S245" si="135">IF(F245&lt;=Exp22Q3,G245,0)+IF(H245&lt;=Exp22Q3,I245,0)+IF(J245&lt;=Exp22Q3,K245,0)+IF(L245&lt;=Exp22Q3,M245,0)+IF(N245&lt;=Exp22Q3,O245,0)</f>
        <v>7</v>
      </c>
      <c r="T245" s="49">
        <f t="shared" ref="T245" si="136">G245+I245+K245+M245+O245</f>
        <v>7</v>
      </c>
    </row>
    <row r="246" spans="2:20" x14ac:dyDescent="0.25">
      <c r="B246" s="117" t="s">
        <v>430</v>
      </c>
      <c r="C246" s="136" t="s">
        <v>431</v>
      </c>
      <c r="D246" s="14" t="s">
        <v>15</v>
      </c>
      <c r="E246" s="14" t="s">
        <v>16</v>
      </c>
      <c r="F246" s="15">
        <v>44585</v>
      </c>
      <c r="G246" s="16">
        <v>0.1048</v>
      </c>
      <c r="H246" s="15">
        <v>44732</v>
      </c>
      <c r="I246" s="16">
        <v>0.15720000000000001</v>
      </c>
      <c r="J246" s="15"/>
      <c r="K246" s="16"/>
      <c r="L246" s="15"/>
      <c r="M246" s="63"/>
      <c r="N246" s="17"/>
      <c r="O246" s="16"/>
      <c r="P246" s="16"/>
      <c r="Q246" s="152">
        <f t="shared" si="117"/>
        <v>0.1048</v>
      </c>
      <c r="R246" s="152">
        <f t="shared" si="118"/>
        <v>0.1048</v>
      </c>
      <c r="S246" s="152">
        <f t="shared" si="119"/>
        <v>0.26200000000000001</v>
      </c>
      <c r="T246" s="18">
        <f t="shared" si="112"/>
        <v>0.26200000000000001</v>
      </c>
    </row>
    <row r="247" spans="2:20" x14ac:dyDescent="0.25">
      <c r="B247" s="117" t="s">
        <v>435</v>
      </c>
      <c r="C247" s="136" t="s">
        <v>436</v>
      </c>
      <c r="D247" s="14" t="s">
        <v>24</v>
      </c>
      <c r="E247" s="14" t="s">
        <v>16</v>
      </c>
      <c r="F247" s="15">
        <v>44706</v>
      </c>
      <c r="G247" s="16">
        <v>1.65</v>
      </c>
      <c r="H247" s="15"/>
      <c r="I247" s="16"/>
      <c r="J247" s="15"/>
      <c r="K247" s="16"/>
      <c r="L247" s="15"/>
      <c r="M247" s="63"/>
      <c r="N247" s="17"/>
      <c r="O247" s="16"/>
      <c r="P247" s="16"/>
      <c r="Q247" s="152">
        <f t="shared" si="117"/>
        <v>0</v>
      </c>
      <c r="R247" s="152">
        <f t="shared" si="118"/>
        <v>1.65</v>
      </c>
      <c r="S247" s="152">
        <f t="shared" si="119"/>
        <v>1.65</v>
      </c>
      <c r="T247" s="18">
        <f t="shared" si="112"/>
        <v>1.65</v>
      </c>
    </row>
    <row r="248" spans="2:20" x14ac:dyDescent="0.25">
      <c r="B248" s="117" t="s">
        <v>437</v>
      </c>
      <c r="C248" s="136" t="s">
        <v>438</v>
      </c>
      <c r="D248" s="14" t="s">
        <v>24</v>
      </c>
      <c r="E248" s="14" t="s">
        <v>16</v>
      </c>
      <c r="F248" s="15"/>
      <c r="G248" s="16"/>
      <c r="H248" s="15"/>
      <c r="I248" s="16"/>
      <c r="J248" s="15"/>
      <c r="K248" s="16"/>
      <c r="L248" s="15"/>
      <c r="M248" s="63"/>
      <c r="N248" s="17"/>
      <c r="O248" s="16"/>
      <c r="P248" s="16"/>
      <c r="Q248" s="152">
        <f t="shared" si="117"/>
        <v>0</v>
      </c>
      <c r="R248" s="152">
        <f t="shared" si="118"/>
        <v>0</v>
      </c>
      <c r="S248" s="152">
        <f t="shared" si="119"/>
        <v>0</v>
      </c>
      <c r="T248" s="18">
        <f t="shared" si="112"/>
        <v>0</v>
      </c>
    </row>
    <row r="249" spans="2:20" x14ac:dyDescent="0.25">
      <c r="B249" s="117" t="s">
        <v>439</v>
      </c>
      <c r="C249" s="136" t="s">
        <v>440</v>
      </c>
      <c r="D249" s="14" t="s">
        <v>27</v>
      </c>
      <c r="E249" s="14" t="s">
        <v>16</v>
      </c>
      <c r="F249" s="15">
        <v>44574</v>
      </c>
      <c r="G249" s="16">
        <v>1.5</v>
      </c>
      <c r="H249" s="15">
        <v>44698</v>
      </c>
      <c r="I249" s="16">
        <v>2.35</v>
      </c>
      <c r="J249" s="15"/>
      <c r="K249" s="16"/>
      <c r="L249" s="15"/>
      <c r="M249" s="63"/>
      <c r="N249" s="17"/>
      <c r="O249" s="16"/>
      <c r="P249" s="16"/>
      <c r="Q249" s="152">
        <f t="shared" si="117"/>
        <v>1.5</v>
      </c>
      <c r="R249" s="152">
        <f t="shared" si="118"/>
        <v>3.85</v>
      </c>
      <c r="S249" s="152">
        <f t="shared" si="119"/>
        <v>3.85</v>
      </c>
      <c r="T249" s="18">
        <f t="shared" si="112"/>
        <v>3.85</v>
      </c>
    </row>
    <row r="250" spans="2:20" x14ac:dyDescent="0.25">
      <c r="B250" s="117" t="s">
        <v>445</v>
      </c>
      <c r="C250" s="136" t="s">
        <v>446</v>
      </c>
      <c r="D250" s="14" t="s">
        <v>15</v>
      </c>
      <c r="E250" s="14" t="s">
        <v>761</v>
      </c>
      <c r="F250" s="15">
        <v>44574</v>
      </c>
      <c r="G250" s="16">
        <v>25.5</v>
      </c>
      <c r="H250" s="15">
        <v>44770</v>
      </c>
      <c r="I250" s="16">
        <v>60.2</v>
      </c>
      <c r="J250" s="15"/>
      <c r="K250" s="16"/>
      <c r="L250" s="15"/>
      <c r="M250" s="63"/>
      <c r="N250" s="17"/>
      <c r="O250" s="16"/>
      <c r="P250" s="16"/>
      <c r="Q250" s="152">
        <f t="shared" si="117"/>
        <v>25.5</v>
      </c>
      <c r="R250" s="152">
        <f t="shared" si="118"/>
        <v>25.5</v>
      </c>
      <c r="S250" s="152">
        <f t="shared" si="119"/>
        <v>85.7</v>
      </c>
      <c r="T250" s="18">
        <f t="shared" si="112"/>
        <v>85.7</v>
      </c>
    </row>
    <row r="251" spans="2:20" x14ac:dyDescent="0.25">
      <c r="B251" s="117" t="s">
        <v>447</v>
      </c>
      <c r="C251" s="136" t="s">
        <v>448</v>
      </c>
      <c r="D251" s="14" t="s">
        <v>15</v>
      </c>
      <c r="E251" s="14" t="s">
        <v>56</v>
      </c>
      <c r="F251" s="15">
        <v>44616</v>
      </c>
      <c r="G251" s="16">
        <v>0.09</v>
      </c>
      <c r="H251" s="15">
        <v>44784</v>
      </c>
      <c r="I251" s="16">
        <v>0.04</v>
      </c>
      <c r="J251" s="15"/>
      <c r="K251" s="16"/>
      <c r="L251" s="15"/>
      <c r="M251" s="63"/>
      <c r="N251" s="17"/>
      <c r="O251" s="16"/>
      <c r="P251" s="16"/>
      <c r="Q251" s="152">
        <f t="shared" si="117"/>
        <v>0.09</v>
      </c>
      <c r="R251" s="152">
        <f t="shared" si="118"/>
        <v>0.09</v>
      </c>
      <c r="S251" s="152">
        <f t="shared" si="119"/>
        <v>0.13</v>
      </c>
      <c r="T251" s="18">
        <f t="shared" si="112"/>
        <v>0.13</v>
      </c>
    </row>
    <row r="252" spans="2:20" x14ac:dyDescent="0.25">
      <c r="B252" s="117" t="s">
        <v>733</v>
      </c>
      <c r="C252" s="136" t="s">
        <v>362</v>
      </c>
      <c r="D252" s="14" t="s">
        <v>24</v>
      </c>
      <c r="E252" s="14" t="s">
        <v>16</v>
      </c>
      <c r="F252" s="15">
        <v>44670</v>
      </c>
      <c r="G252" s="16">
        <v>1.04</v>
      </c>
      <c r="H252" s="15"/>
      <c r="I252" s="16"/>
      <c r="J252" s="15"/>
      <c r="K252" s="16"/>
      <c r="L252" s="15"/>
      <c r="M252" s="63"/>
      <c r="N252" s="17"/>
      <c r="O252" s="16"/>
      <c r="P252" s="16"/>
      <c r="Q252" s="152">
        <f t="shared" si="117"/>
        <v>0</v>
      </c>
      <c r="R252" s="152">
        <f t="shared" si="118"/>
        <v>1.04</v>
      </c>
      <c r="S252" s="152">
        <f t="shared" si="119"/>
        <v>1.04</v>
      </c>
      <c r="T252" s="18">
        <f t="shared" si="112"/>
        <v>1.04</v>
      </c>
    </row>
    <row r="253" spans="2:20" x14ac:dyDescent="0.25">
      <c r="B253" s="117" t="s">
        <v>451</v>
      </c>
      <c r="C253" s="136" t="s">
        <v>452</v>
      </c>
      <c r="D253" s="14" t="s">
        <v>15</v>
      </c>
      <c r="E253" s="14" t="s">
        <v>56</v>
      </c>
      <c r="F253" s="15">
        <v>44641</v>
      </c>
      <c r="G253" s="16">
        <v>0.06</v>
      </c>
      <c r="H253" s="15">
        <v>44732</v>
      </c>
      <c r="I253" s="16">
        <v>0.06</v>
      </c>
      <c r="J253" s="15">
        <v>44823</v>
      </c>
      <c r="K253" s="16">
        <v>0.06</v>
      </c>
      <c r="L253" s="15">
        <v>44907</v>
      </c>
      <c r="M253" s="63">
        <v>0.06</v>
      </c>
      <c r="N253" s="17"/>
      <c r="O253" s="16"/>
      <c r="P253" s="16"/>
      <c r="Q253" s="152">
        <f t="shared" si="117"/>
        <v>0</v>
      </c>
      <c r="R253" s="152">
        <f t="shared" si="118"/>
        <v>0.06</v>
      </c>
      <c r="S253" s="152">
        <f t="shared" si="119"/>
        <v>0.12</v>
      </c>
      <c r="T253" s="18">
        <f t="shared" si="112"/>
        <v>0.24</v>
      </c>
    </row>
    <row r="254" spans="2:20" x14ac:dyDescent="0.25">
      <c r="B254" s="117" t="s">
        <v>455</v>
      </c>
      <c r="C254" s="136" t="s">
        <v>456</v>
      </c>
      <c r="D254" s="14" t="s">
        <v>15</v>
      </c>
      <c r="E254" s="14" t="s">
        <v>200</v>
      </c>
      <c r="F254" s="15">
        <v>44644</v>
      </c>
      <c r="G254" s="16">
        <v>5</v>
      </c>
      <c r="H254" s="15"/>
      <c r="I254" s="16"/>
      <c r="J254" s="15"/>
      <c r="K254" s="16"/>
      <c r="L254" s="15"/>
      <c r="M254" s="63"/>
      <c r="N254" s="17"/>
      <c r="O254" s="16"/>
      <c r="P254" s="16"/>
      <c r="Q254" s="152">
        <f t="shared" si="117"/>
        <v>0</v>
      </c>
      <c r="R254" s="152">
        <f t="shared" si="118"/>
        <v>5</v>
      </c>
      <c r="S254" s="152">
        <f t="shared" si="119"/>
        <v>5</v>
      </c>
      <c r="T254" s="18">
        <f t="shared" si="112"/>
        <v>5</v>
      </c>
    </row>
    <row r="255" spans="2:20" x14ac:dyDescent="0.25">
      <c r="B255" s="117" t="s">
        <v>853</v>
      </c>
      <c r="C255" s="136" t="s">
        <v>854</v>
      </c>
      <c r="D255" s="14" t="s">
        <v>15</v>
      </c>
      <c r="E255" s="14" t="s">
        <v>200</v>
      </c>
      <c r="F255" s="153">
        <v>44652</v>
      </c>
      <c r="G255" s="154">
        <f>2.25*0.99448124</f>
        <v>2.2375827900000003</v>
      </c>
      <c r="H255" s="15"/>
      <c r="I255" s="16"/>
      <c r="J255" s="15"/>
      <c r="K255" s="16"/>
      <c r="L255" s="15"/>
      <c r="M255" s="63"/>
      <c r="N255" s="17"/>
      <c r="O255" s="16"/>
      <c r="P255" s="16"/>
      <c r="Q255" s="152">
        <f t="shared" ref="Q255" si="137">IF(F255&lt;=Exp22Q1,G255,0)+IF(H255&lt;=Exp22Q1,I255,0)+IF(J255&lt;=Exp22Q1,K255,0)+IF(L255&lt;=Exp22Q1,M255,0)+IF(N255&lt;=Exp22Q1,O255,0)</f>
        <v>0</v>
      </c>
      <c r="R255" s="152">
        <f t="shared" ref="R255" si="138">IF(F255&lt;=Exp22H1,G255,0)+IF(H255&lt;=Exp22H1,I255,0)+IF(J255&lt;=Exp22H1,K255,0)+IF(L255&lt;=Exp22H1,M255,0)+IF(N255&lt;=Exp22H1,O255,0)</f>
        <v>2.2375827900000003</v>
      </c>
      <c r="S255" s="152">
        <f t="shared" ref="S255" si="139">IF(F255&lt;=Exp22Q3,G255,0)+IF(H255&lt;=Exp22Q3,I255,0)+IF(J255&lt;=Exp22Q3,K255,0)+IF(L255&lt;=Exp22Q3,M255,0)+IF(N255&lt;=Exp22Q3,O255,0)</f>
        <v>2.2375827900000003</v>
      </c>
      <c r="T255" s="18">
        <f t="shared" ref="T255" si="140">G255+I255+K255+M255+O255</f>
        <v>2.2375827900000003</v>
      </c>
    </row>
    <row r="256" spans="2:20" x14ac:dyDescent="0.25">
      <c r="B256" s="117" t="s">
        <v>457</v>
      </c>
      <c r="C256" s="136" t="s">
        <v>458</v>
      </c>
      <c r="D256" s="14" t="s">
        <v>15</v>
      </c>
      <c r="E256" s="14" t="s">
        <v>200</v>
      </c>
      <c r="F256" s="153">
        <v>44651</v>
      </c>
      <c r="G256" s="154">
        <f>9.25*0.98671185</f>
        <v>9.1270846124999991</v>
      </c>
      <c r="H256" s="15"/>
      <c r="I256" s="16"/>
      <c r="J256" s="15"/>
      <c r="K256" s="16"/>
      <c r="L256" s="15"/>
      <c r="M256" s="63"/>
      <c r="N256" s="17"/>
      <c r="O256" s="16"/>
      <c r="P256" s="16"/>
      <c r="Q256" s="152">
        <f t="shared" si="117"/>
        <v>0</v>
      </c>
      <c r="R256" s="152">
        <f t="shared" si="118"/>
        <v>9.1270846124999991</v>
      </c>
      <c r="S256" s="152">
        <f t="shared" si="119"/>
        <v>9.1270846124999991</v>
      </c>
      <c r="T256" s="18">
        <f t="shared" si="112"/>
        <v>9.1270846124999991</v>
      </c>
    </row>
    <row r="257" spans="2:20" x14ac:dyDescent="0.25">
      <c r="B257" s="117" t="s">
        <v>461</v>
      </c>
      <c r="C257" s="136" t="s">
        <v>462</v>
      </c>
      <c r="D257" s="14" t="s">
        <v>15</v>
      </c>
      <c r="E257" s="14" t="s">
        <v>21</v>
      </c>
      <c r="F257" s="15">
        <v>44670</v>
      </c>
      <c r="G257" s="16">
        <v>5.9</v>
      </c>
      <c r="H257" s="15"/>
      <c r="I257" s="16"/>
      <c r="J257" s="15"/>
      <c r="K257" s="16"/>
      <c r="L257" s="15"/>
      <c r="M257" s="63"/>
      <c r="N257" s="17"/>
      <c r="O257" s="16"/>
      <c r="P257" s="16"/>
      <c r="Q257" s="152">
        <f t="shared" si="117"/>
        <v>0</v>
      </c>
      <c r="R257" s="152">
        <f t="shared" si="118"/>
        <v>5.9</v>
      </c>
      <c r="S257" s="152">
        <f t="shared" si="119"/>
        <v>5.9</v>
      </c>
      <c r="T257" s="18">
        <f t="shared" ref="T257:T322" si="141">G257+I257+K257+M257+O257</f>
        <v>5.9</v>
      </c>
    </row>
    <row r="258" spans="2:20" x14ac:dyDescent="0.25">
      <c r="B258" s="117" t="s">
        <v>463</v>
      </c>
      <c r="C258" s="136" t="s">
        <v>464</v>
      </c>
      <c r="D258" s="14" t="s">
        <v>15</v>
      </c>
      <c r="E258" s="14" t="s">
        <v>21</v>
      </c>
      <c r="F258" s="15">
        <v>44652</v>
      </c>
      <c r="G258" s="16">
        <v>22</v>
      </c>
      <c r="H258" s="15"/>
      <c r="I258" s="16"/>
      <c r="J258" s="15"/>
      <c r="K258" s="16"/>
      <c r="L258" s="15"/>
      <c r="M258" s="63"/>
      <c r="N258" s="17"/>
      <c r="O258" s="16"/>
      <c r="P258" s="16"/>
      <c r="Q258" s="152">
        <f t="shared" si="117"/>
        <v>0</v>
      </c>
      <c r="R258" s="152">
        <f t="shared" si="118"/>
        <v>22</v>
      </c>
      <c r="S258" s="152">
        <f t="shared" si="119"/>
        <v>22</v>
      </c>
      <c r="T258" s="18">
        <f t="shared" si="141"/>
        <v>22</v>
      </c>
    </row>
    <row r="259" spans="2:20" x14ac:dyDescent="0.25">
      <c r="B259" s="117" t="s">
        <v>467</v>
      </c>
      <c r="C259" s="136" t="s">
        <v>468</v>
      </c>
      <c r="D259" s="14" t="s">
        <v>15</v>
      </c>
      <c r="E259" s="14" t="s">
        <v>200</v>
      </c>
      <c r="F259" s="153">
        <v>44680</v>
      </c>
      <c r="G259" s="154">
        <f>3.4*0.9120433</f>
        <v>3.1009472200000001</v>
      </c>
      <c r="H259" s="15">
        <v>44844</v>
      </c>
      <c r="I259" s="16">
        <v>3.35</v>
      </c>
      <c r="J259" s="15"/>
      <c r="K259" s="16"/>
      <c r="L259" s="15"/>
      <c r="M259" s="63"/>
      <c r="N259" s="17"/>
      <c r="O259" s="16"/>
      <c r="P259" s="16"/>
      <c r="Q259" s="152">
        <f t="shared" si="117"/>
        <v>0</v>
      </c>
      <c r="R259" s="152">
        <f t="shared" si="118"/>
        <v>3.1009472200000001</v>
      </c>
      <c r="S259" s="152">
        <f>IF(F259&lt;=Exp22Q3,G259,0)+IF(H259&lt;=Exp22Q3,I259,0)+IF(J259&lt;=Exp22Q3,K259,0)+IF(L259&lt;=Exp22Q3,M259,0)+IF(N259&lt;=Exp22Q3,O259,0)</f>
        <v>3.1009472200000001</v>
      </c>
      <c r="T259" s="18">
        <f t="shared" si="141"/>
        <v>6.4509472199999998</v>
      </c>
    </row>
    <row r="260" spans="2:20" x14ac:dyDescent="0.25">
      <c r="B260" s="117" t="s">
        <v>471</v>
      </c>
      <c r="C260" s="136" t="s">
        <v>472</v>
      </c>
      <c r="D260" s="14" t="s">
        <v>15</v>
      </c>
      <c r="E260" s="14" t="s">
        <v>16</v>
      </c>
      <c r="F260" s="15">
        <v>44713</v>
      </c>
      <c r="G260" s="16">
        <v>0.14799999999999999</v>
      </c>
      <c r="H260" s="15">
        <v>44908</v>
      </c>
      <c r="I260" s="16">
        <v>0.15</v>
      </c>
      <c r="J260" s="15"/>
      <c r="K260" s="16"/>
      <c r="L260" s="15"/>
      <c r="M260" s="63"/>
      <c r="N260" s="17"/>
      <c r="O260" s="16"/>
      <c r="P260" s="16"/>
      <c r="Q260" s="152">
        <f t="shared" si="117"/>
        <v>0</v>
      </c>
      <c r="R260" s="152">
        <f t="shared" si="118"/>
        <v>0.14799999999999999</v>
      </c>
      <c r="S260" s="152">
        <f t="shared" si="119"/>
        <v>0.14799999999999999</v>
      </c>
      <c r="T260" s="18">
        <f t="shared" si="141"/>
        <v>0.29799999999999999</v>
      </c>
    </row>
    <row r="261" spans="2:20" x14ac:dyDescent="0.25">
      <c r="B261" s="117" t="s">
        <v>784</v>
      </c>
      <c r="C261" s="136" t="s">
        <v>785</v>
      </c>
      <c r="D261" s="14" t="s">
        <v>27</v>
      </c>
      <c r="E261" s="14" t="s">
        <v>16</v>
      </c>
      <c r="F261" s="15">
        <v>44683</v>
      </c>
      <c r="G261" s="16">
        <v>1.375</v>
      </c>
      <c r="H261" s="15"/>
      <c r="I261" s="16"/>
      <c r="J261" s="15"/>
      <c r="K261" s="16"/>
      <c r="L261" s="15"/>
      <c r="M261" s="63"/>
      <c r="N261" s="17"/>
      <c r="O261" s="16"/>
      <c r="P261" s="16"/>
      <c r="Q261" s="152">
        <f t="shared" si="117"/>
        <v>0</v>
      </c>
      <c r="R261" s="152">
        <f t="shared" si="118"/>
        <v>1.375</v>
      </c>
      <c r="S261" s="152">
        <f t="shared" si="119"/>
        <v>1.375</v>
      </c>
      <c r="T261" s="18">
        <f t="shared" si="141"/>
        <v>1.375</v>
      </c>
    </row>
    <row r="262" spans="2:20" x14ac:dyDescent="0.25">
      <c r="B262" s="117" t="s">
        <v>473</v>
      </c>
      <c r="C262" s="136" t="s">
        <v>669</v>
      </c>
      <c r="D262" s="14" t="s">
        <v>755</v>
      </c>
      <c r="E262" s="14" t="s">
        <v>475</v>
      </c>
      <c r="F262" s="15">
        <v>44693</v>
      </c>
      <c r="G262" s="16">
        <v>5</v>
      </c>
      <c r="H262" s="15">
        <v>44840</v>
      </c>
      <c r="I262" s="16">
        <v>4.3</v>
      </c>
      <c r="J262" s="15"/>
      <c r="K262" s="16"/>
      <c r="L262" s="15"/>
      <c r="M262" s="63"/>
      <c r="N262" s="17"/>
      <c r="O262" s="16"/>
      <c r="P262" s="16"/>
      <c r="Q262" s="152">
        <f t="shared" si="117"/>
        <v>0</v>
      </c>
      <c r="R262" s="152">
        <f t="shared" si="118"/>
        <v>5</v>
      </c>
      <c r="S262" s="152">
        <f t="shared" si="119"/>
        <v>5</v>
      </c>
      <c r="T262" s="18">
        <f t="shared" si="141"/>
        <v>9.3000000000000007</v>
      </c>
    </row>
    <row r="263" spans="2:20" x14ac:dyDescent="0.25">
      <c r="B263" s="117" t="s">
        <v>476</v>
      </c>
      <c r="C263" s="136" t="s">
        <v>477</v>
      </c>
      <c r="D263" s="14" t="s">
        <v>15</v>
      </c>
      <c r="E263" s="14" t="s">
        <v>200</v>
      </c>
      <c r="F263" s="15">
        <v>44658</v>
      </c>
      <c r="G263" s="16">
        <v>1</v>
      </c>
      <c r="H263" s="15">
        <v>44860</v>
      </c>
      <c r="I263" s="16">
        <v>1.05</v>
      </c>
      <c r="J263" s="15"/>
      <c r="K263" s="16"/>
      <c r="L263" s="15"/>
      <c r="M263" s="63"/>
      <c r="N263" s="17"/>
      <c r="O263" s="16"/>
      <c r="P263" s="16"/>
      <c r="Q263" s="152">
        <f t="shared" si="117"/>
        <v>0</v>
      </c>
      <c r="R263" s="152">
        <f t="shared" si="118"/>
        <v>1</v>
      </c>
      <c r="S263" s="152">
        <f t="shared" si="119"/>
        <v>1</v>
      </c>
      <c r="T263" s="18">
        <f t="shared" si="141"/>
        <v>2.0499999999999998</v>
      </c>
    </row>
    <row r="264" spans="2:20" x14ac:dyDescent="0.25">
      <c r="B264" s="117" t="s">
        <v>892</v>
      </c>
      <c r="C264" s="136" t="s">
        <v>893</v>
      </c>
      <c r="D264" s="14" t="s">
        <v>24</v>
      </c>
      <c r="E264" s="14" t="s">
        <v>16</v>
      </c>
      <c r="F264" s="15">
        <v>44698</v>
      </c>
      <c r="G264" s="16">
        <v>1.96</v>
      </c>
      <c r="H264" s="15">
        <v>44901</v>
      </c>
      <c r="I264" s="16">
        <v>0.7</v>
      </c>
      <c r="J264" s="15"/>
      <c r="K264" s="16"/>
      <c r="L264" s="15"/>
      <c r="M264" s="63"/>
      <c r="N264" s="17"/>
      <c r="O264" s="16"/>
      <c r="P264" s="16"/>
      <c r="Q264" s="152">
        <f t="shared" ref="Q264" si="142">IF(F264&lt;=Exp22Q1,G264,0)+IF(H264&lt;=Exp22Q1,I264,0)+IF(J264&lt;=Exp22Q1,K264,0)+IF(L264&lt;=Exp22Q1,M264,0)+IF(N264&lt;=Exp22Q1,O264,0)</f>
        <v>0</v>
      </c>
      <c r="R264" s="152">
        <f t="shared" ref="R264" si="143">IF(F264&lt;=Exp22H1,G264,0)+IF(H264&lt;=Exp22H1,I264,0)+IF(J264&lt;=Exp22H1,K264,0)+IF(L264&lt;=Exp22H1,M264,0)+IF(N264&lt;=Exp22H1,O264,0)</f>
        <v>1.96</v>
      </c>
      <c r="S264" s="152">
        <f t="shared" ref="S264" si="144">IF(F264&lt;=Exp22Q3,G264,0)+IF(H264&lt;=Exp22Q3,I264,0)+IF(J264&lt;=Exp22Q3,K264,0)+IF(L264&lt;=Exp22Q3,M264,0)+IF(N264&lt;=Exp22Q3,O264,0)</f>
        <v>1.96</v>
      </c>
      <c r="T264" s="18">
        <f t="shared" ref="T264" si="145">G264+I264+K264+M264+O264</f>
        <v>2.66</v>
      </c>
    </row>
    <row r="265" spans="2:20" x14ac:dyDescent="0.25">
      <c r="B265" s="117" t="s">
        <v>480</v>
      </c>
      <c r="C265" s="136" t="s">
        <v>481</v>
      </c>
      <c r="D265" s="14" t="s">
        <v>237</v>
      </c>
      <c r="E265" s="14" t="s">
        <v>16</v>
      </c>
      <c r="F265" s="15">
        <v>44554</v>
      </c>
      <c r="G265" s="16">
        <v>7.0300000000000001E-2</v>
      </c>
      <c r="H265" s="15">
        <v>44715</v>
      </c>
      <c r="I265" s="16">
        <v>0.1406</v>
      </c>
      <c r="J265" s="15">
        <v>44903</v>
      </c>
      <c r="K265" s="16">
        <v>0.21090999999999999</v>
      </c>
      <c r="L265" s="15"/>
      <c r="M265" s="63"/>
      <c r="N265" s="17"/>
      <c r="O265" s="16"/>
      <c r="P265" s="16"/>
      <c r="Q265" s="152">
        <f t="shared" si="117"/>
        <v>7.0300000000000001E-2</v>
      </c>
      <c r="R265" s="152">
        <f t="shared" si="118"/>
        <v>0.2109</v>
      </c>
      <c r="S265" s="152">
        <f t="shared" si="119"/>
        <v>0.2109</v>
      </c>
      <c r="T265" s="18">
        <f t="shared" si="141"/>
        <v>0.42181000000000002</v>
      </c>
    </row>
    <row r="266" spans="2:20" x14ac:dyDescent="0.25">
      <c r="B266" s="117" t="s">
        <v>482</v>
      </c>
      <c r="C266" s="136" t="s">
        <v>483</v>
      </c>
      <c r="D266" s="14" t="s">
        <v>15</v>
      </c>
      <c r="E266" s="14" t="s">
        <v>21</v>
      </c>
      <c r="F266" s="15">
        <v>44708</v>
      </c>
      <c r="G266" s="16">
        <v>5.5</v>
      </c>
      <c r="H266" s="15"/>
      <c r="I266" s="16"/>
      <c r="J266" s="15"/>
      <c r="K266" s="16"/>
      <c r="L266" s="15"/>
      <c r="M266" s="63"/>
      <c r="N266" s="17"/>
      <c r="O266" s="16"/>
      <c r="P266" s="16"/>
      <c r="Q266" s="152">
        <f t="shared" si="117"/>
        <v>0</v>
      </c>
      <c r="R266" s="152">
        <f t="shared" si="118"/>
        <v>5.5</v>
      </c>
      <c r="S266" s="152">
        <f t="shared" si="119"/>
        <v>5.5</v>
      </c>
      <c r="T266" s="18">
        <f t="shared" si="141"/>
        <v>5.5</v>
      </c>
    </row>
    <row r="267" spans="2:20" x14ac:dyDescent="0.25">
      <c r="B267" s="117" t="s">
        <v>484</v>
      </c>
      <c r="C267" s="136" t="s">
        <v>485</v>
      </c>
      <c r="D267" s="14" t="s">
        <v>15</v>
      </c>
      <c r="E267" s="14" t="s">
        <v>16</v>
      </c>
      <c r="F267" s="15"/>
      <c r="G267" s="16"/>
      <c r="H267" s="15"/>
      <c r="I267" s="16"/>
      <c r="J267" s="15"/>
      <c r="K267" s="16"/>
      <c r="L267" s="15"/>
      <c r="M267" s="63"/>
      <c r="N267" s="17"/>
      <c r="O267" s="16"/>
      <c r="P267" s="16"/>
      <c r="Q267" s="152">
        <f t="shared" si="117"/>
        <v>0</v>
      </c>
      <c r="R267" s="152">
        <f t="shared" si="118"/>
        <v>0</v>
      </c>
      <c r="S267" s="152">
        <f t="shared" si="119"/>
        <v>0</v>
      </c>
      <c r="T267" s="18">
        <f t="shared" si="141"/>
        <v>0</v>
      </c>
    </row>
    <row r="268" spans="2:20" x14ac:dyDescent="0.25">
      <c r="B268" s="117" t="s">
        <v>486</v>
      </c>
      <c r="C268" s="136" t="s">
        <v>487</v>
      </c>
      <c r="D268" s="14" t="s">
        <v>15</v>
      </c>
      <c r="E268" s="14" t="s">
        <v>16</v>
      </c>
      <c r="F268" s="15"/>
      <c r="G268" s="16"/>
      <c r="H268" s="15"/>
      <c r="I268" s="16"/>
      <c r="J268" s="15"/>
      <c r="K268" s="16"/>
      <c r="L268" s="15"/>
      <c r="M268" s="63"/>
      <c r="N268" s="17"/>
      <c r="O268" s="16"/>
      <c r="P268" s="16"/>
      <c r="Q268" s="152">
        <f t="shared" si="117"/>
        <v>0</v>
      </c>
      <c r="R268" s="152">
        <f t="shared" si="118"/>
        <v>0</v>
      </c>
      <c r="S268" s="152">
        <f t="shared" si="119"/>
        <v>0</v>
      </c>
      <c r="T268" s="18">
        <f t="shared" si="141"/>
        <v>0</v>
      </c>
    </row>
    <row r="269" spans="2:20" x14ac:dyDescent="0.25">
      <c r="B269" s="117" t="s">
        <v>776</v>
      </c>
      <c r="C269" s="136" t="s">
        <v>489</v>
      </c>
      <c r="D269" s="14" t="s">
        <v>24</v>
      </c>
      <c r="E269" s="14" t="s">
        <v>16</v>
      </c>
      <c r="F269" s="153">
        <v>44564</v>
      </c>
      <c r="G269" s="154">
        <f>0.66*0.98298162</f>
        <v>0.64876786920000007</v>
      </c>
      <c r="H269" s="153">
        <v>44642</v>
      </c>
      <c r="I269" s="154">
        <f>0.66*0.98298162</f>
        <v>0.64876786920000007</v>
      </c>
      <c r="J269" s="153">
        <v>44733</v>
      </c>
      <c r="K269" s="154">
        <f>0.66*0.98298162</f>
        <v>0.64876786920000007</v>
      </c>
      <c r="L269" s="153">
        <v>44825</v>
      </c>
      <c r="M269" s="154">
        <f>0.69*0.98298162</f>
        <v>0.67825731779999998</v>
      </c>
      <c r="N269" s="17"/>
      <c r="O269" s="16"/>
      <c r="P269" s="16"/>
      <c r="Q269" s="152">
        <f t="shared" si="117"/>
        <v>0.64876786920000007</v>
      </c>
      <c r="R269" s="152">
        <f t="shared" si="118"/>
        <v>1.2975357384000001</v>
      </c>
      <c r="S269" s="152">
        <f t="shared" si="119"/>
        <v>1.9463036076000002</v>
      </c>
      <c r="T269" s="18">
        <f t="shared" si="141"/>
        <v>2.6245609254</v>
      </c>
    </row>
    <row r="270" spans="2:20" x14ac:dyDescent="0.25">
      <c r="B270" s="117" t="s">
        <v>904</v>
      </c>
      <c r="C270" s="136" t="s">
        <v>905</v>
      </c>
      <c r="D270" s="14" t="s">
        <v>15</v>
      </c>
      <c r="E270" s="14" t="s">
        <v>200</v>
      </c>
      <c r="F270" s="15">
        <v>44679</v>
      </c>
      <c r="G270" s="16">
        <v>5.5</v>
      </c>
      <c r="H270" s="15"/>
      <c r="I270" s="16"/>
      <c r="J270" s="15"/>
      <c r="K270" s="16"/>
      <c r="L270" s="15"/>
      <c r="M270" s="63"/>
      <c r="N270" s="17"/>
      <c r="O270" s="16"/>
      <c r="P270" s="16"/>
      <c r="Q270" s="152">
        <f t="shared" ref="Q270" si="146">IF(F270&lt;=Exp22Q1,G270,0)+IF(H270&lt;=Exp22Q1,I270,0)+IF(J270&lt;=Exp22Q1,K270,0)+IF(L270&lt;=Exp22Q1,M270,0)+IF(N270&lt;=Exp22Q1,O270,0)</f>
        <v>0</v>
      </c>
      <c r="R270" s="152">
        <f t="shared" ref="R270" si="147">IF(F270&lt;=Exp22H1,G270,0)+IF(H270&lt;=Exp22H1,I270,0)+IF(J270&lt;=Exp22H1,K270,0)+IF(L270&lt;=Exp22H1,M270,0)+IF(N270&lt;=Exp22H1,O270,0)</f>
        <v>5.5</v>
      </c>
      <c r="S270" s="152">
        <f t="shared" ref="S270" si="148">IF(F270&lt;=Exp22Q3,G270,0)+IF(H270&lt;=Exp22Q3,I270,0)+IF(J270&lt;=Exp22Q3,K270,0)+IF(L270&lt;=Exp22Q3,M270,0)+IF(N270&lt;=Exp22Q3,O270,0)</f>
        <v>5.5</v>
      </c>
      <c r="T270" s="18">
        <f t="shared" ref="T270" si="149">G270+I270+K270+M270+O270</f>
        <v>5.5</v>
      </c>
    </row>
    <row r="271" spans="2:20" x14ac:dyDescent="0.25">
      <c r="B271" s="117" t="s">
        <v>492</v>
      </c>
      <c r="C271" s="136" t="s">
        <v>493</v>
      </c>
      <c r="D271" s="14" t="s">
        <v>15</v>
      </c>
      <c r="E271" s="14" t="s">
        <v>21</v>
      </c>
      <c r="F271" s="15">
        <v>44663</v>
      </c>
      <c r="G271" s="16">
        <v>0.46542499999999998</v>
      </c>
      <c r="H271" s="15"/>
      <c r="I271" s="16"/>
      <c r="J271" s="15"/>
      <c r="K271" s="16"/>
      <c r="L271" s="15"/>
      <c r="M271" s="63"/>
      <c r="N271" s="17"/>
      <c r="O271" s="16"/>
      <c r="P271" s="16"/>
      <c r="Q271" s="152">
        <f t="shared" si="117"/>
        <v>0</v>
      </c>
      <c r="R271" s="152">
        <f t="shared" si="118"/>
        <v>0.46542499999999998</v>
      </c>
      <c r="S271" s="152">
        <f t="shared" si="119"/>
        <v>0.46542499999999998</v>
      </c>
      <c r="T271" s="18">
        <f t="shared" si="141"/>
        <v>0.46542499999999998</v>
      </c>
    </row>
    <row r="272" spans="2:20" x14ac:dyDescent="0.25">
      <c r="B272" s="117" t="s">
        <v>494</v>
      </c>
      <c r="C272" s="136" t="s">
        <v>495</v>
      </c>
      <c r="D272" s="14" t="s">
        <v>27</v>
      </c>
      <c r="E272" s="14" t="s">
        <v>16</v>
      </c>
      <c r="F272" s="15">
        <v>44680</v>
      </c>
      <c r="G272" s="16">
        <v>1.3</v>
      </c>
      <c r="H272" s="15"/>
      <c r="I272" s="16"/>
      <c r="J272" s="15"/>
      <c r="K272" s="16"/>
      <c r="L272" s="15"/>
      <c r="M272" s="151"/>
      <c r="N272" s="17"/>
      <c r="O272" s="16"/>
      <c r="P272" s="16"/>
      <c r="Q272" s="152">
        <f t="shared" si="117"/>
        <v>0</v>
      </c>
      <c r="R272" s="152">
        <f t="shared" si="118"/>
        <v>1.3</v>
      </c>
      <c r="S272" s="152">
        <f t="shared" si="119"/>
        <v>1.3</v>
      </c>
      <c r="T272" s="18">
        <f>G272+I272+K272+M272+O272</f>
        <v>1.3</v>
      </c>
    </row>
    <row r="273" spans="2:20" x14ac:dyDescent="0.25">
      <c r="B273" s="117" t="s">
        <v>496</v>
      </c>
      <c r="C273" s="136" t="s">
        <v>497</v>
      </c>
      <c r="D273" s="14" t="s">
        <v>27</v>
      </c>
      <c r="E273" s="14" t="s">
        <v>16</v>
      </c>
      <c r="F273" s="15">
        <v>44683</v>
      </c>
      <c r="G273" s="16">
        <v>0.55000000000000004</v>
      </c>
      <c r="H273" s="15">
        <v>44792</v>
      </c>
      <c r="I273" s="16">
        <v>0.25</v>
      </c>
      <c r="J273" s="15"/>
      <c r="K273" s="16"/>
      <c r="L273" s="15"/>
      <c r="M273" s="151"/>
      <c r="N273" s="17"/>
      <c r="O273" s="16"/>
      <c r="P273" s="16"/>
      <c r="Q273" s="152">
        <f t="shared" si="117"/>
        <v>0</v>
      </c>
      <c r="R273" s="152">
        <f t="shared" si="118"/>
        <v>0.55000000000000004</v>
      </c>
      <c r="S273" s="152">
        <f t="shared" si="119"/>
        <v>0.8</v>
      </c>
      <c r="T273" s="18">
        <f t="shared" si="141"/>
        <v>0.8</v>
      </c>
    </row>
    <row r="274" spans="2:20" x14ac:dyDescent="0.25">
      <c r="B274" s="117" t="s">
        <v>622</v>
      </c>
      <c r="C274" s="136" t="s">
        <v>499</v>
      </c>
      <c r="D274" s="14" t="s">
        <v>15</v>
      </c>
      <c r="E274" s="14" t="s">
        <v>16</v>
      </c>
      <c r="F274" s="15"/>
      <c r="G274" s="16"/>
      <c r="H274" s="15"/>
      <c r="I274" s="16"/>
      <c r="J274" s="15"/>
      <c r="K274" s="16"/>
      <c r="L274" s="15"/>
      <c r="M274" s="63"/>
      <c r="N274" s="17"/>
      <c r="O274" s="16"/>
      <c r="P274" s="16"/>
      <c r="Q274" s="152">
        <f t="shared" si="117"/>
        <v>0</v>
      </c>
      <c r="R274" s="152">
        <f t="shared" si="118"/>
        <v>0</v>
      </c>
      <c r="S274" s="152">
        <f t="shared" si="119"/>
        <v>0</v>
      </c>
      <c r="T274" s="18">
        <f t="shared" si="141"/>
        <v>0</v>
      </c>
    </row>
    <row r="275" spans="2:20" x14ac:dyDescent="0.25">
      <c r="B275" s="117" t="s">
        <v>500</v>
      </c>
      <c r="C275" s="136" t="s">
        <v>501</v>
      </c>
      <c r="D275" s="14" t="s">
        <v>15</v>
      </c>
      <c r="E275" s="14" t="s">
        <v>16</v>
      </c>
      <c r="F275" s="15">
        <v>44670</v>
      </c>
      <c r="G275" s="16">
        <v>0.53800000000000003</v>
      </c>
      <c r="H275" s="15"/>
      <c r="I275" s="16"/>
      <c r="J275" s="15"/>
      <c r="K275" s="16"/>
      <c r="L275" s="15"/>
      <c r="M275" s="63"/>
      <c r="N275" s="17"/>
      <c r="O275" s="16"/>
      <c r="P275" s="16"/>
      <c r="Q275" s="152">
        <f t="shared" si="117"/>
        <v>0</v>
      </c>
      <c r="R275" s="152">
        <f t="shared" si="118"/>
        <v>0.53800000000000003</v>
      </c>
      <c r="S275" s="152">
        <f t="shared" si="119"/>
        <v>0.53800000000000003</v>
      </c>
      <c r="T275" s="18">
        <f t="shared" si="141"/>
        <v>0.53800000000000003</v>
      </c>
    </row>
    <row r="276" spans="2:20" x14ac:dyDescent="0.25">
      <c r="B276" s="117" t="s">
        <v>504</v>
      </c>
      <c r="C276" s="136" t="s">
        <v>505</v>
      </c>
      <c r="D276" s="14" t="s">
        <v>15</v>
      </c>
      <c r="E276" s="14" t="s">
        <v>16</v>
      </c>
      <c r="F276" s="15">
        <v>44616</v>
      </c>
      <c r="G276" s="16">
        <v>0.42680000000000001</v>
      </c>
      <c r="H276" s="15">
        <v>44700</v>
      </c>
      <c r="I276" s="16">
        <v>0.42680000000000001</v>
      </c>
      <c r="J276" s="15">
        <v>44777</v>
      </c>
      <c r="K276" s="16">
        <v>0.42680000000000001</v>
      </c>
      <c r="L276" s="15">
        <v>44882</v>
      </c>
      <c r="M276" s="63">
        <v>0.42680000000000001</v>
      </c>
      <c r="N276" s="17"/>
      <c r="O276" s="16"/>
      <c r="P276" s="16"/>
      <c r="Q276" s="152">
        <f t="shared" si="117"/>
        <v>0.42680000000000001</v>
      </c>
      <c r="R276" s="152">
        <f t="shared" si="118"/>
        <v>0.85360000000000003</v>
      </c>
      <c r="S276" s="152">
        <f t="shared" si="119"/>
        <v>1.2804</v>
      </c>
      <c r="T276" s="18">
        <f t="shared" si="141"/>
        <v>1.7072000000000001</v>
      </c>
    </row>
    <row r="277" spans="2:20" x14ac:dyDescent="0.25">
      <c r="B277" s="117" t="s">
        <v>508</v>
      </c>
      <c r="C277" s="136" t="s">
        <v>509</v>
      </c>
      <c r="D277" s="14" t="s">
        <v>15</v>
      </c>
      <c r="E277" s="14" t="s">
        <v>16</v>
      </c>
      <c r="F277" s="15">
        <v>44704</v>
      </c>
      <c r="G277" s="16">
        <v>0.19</v>
      </c>
      <c r="H277" s="15"/>
      <c r="I277" s="16"/>
      <c r="J277" s="15"/>
      <c r="K277" s="16"/>
      <c r="L277" s="15"/>
      <c r="M277" s="63"/>
      <c r="N277" s="17"/>
      <c r="O277" s="16"/>
      <c r="P277" s="16"/>
      <c r="Q277" s="152">
        <f t="shared" si="117"/>
        <v>0</v>
      </c>
      <c r="R277" s="152">
        <f t="shared" si="118"/>
        <v>0.19</v>
      </c>
      <c r="S277" s="152">
        <f t="shared" si="119"/>
        <v>0.19</v>
      </c>
      <c r="T277" s="18">
        <f t="shared" si="141"/>
        <v>0.19</v>
      </c>
    </row>
    <row r="278" spans="2:20" x14ac:dyDescent="0.25">
      <c r="B278" s="117" t="s">
        <v>510</v>
      </c>
      <c r="C278" s="136" t="s">
        <v>511</v>
      </c>
      <c r="D278" s="14" t="s">
        <v>15</v>
      </c>
      <c r="E278" s="14" t="s">
        <v>761</v>
      </c>
      <c r="F278" s="15">
        <v>44735</v>
      </c>
      <c r="G278" s="16">
        <v>29</v>
      </c>
      <c r="H278" s="15"/>
      <c r="I278" s="16"/>
      <c r="J278" s="15"/>
      <c r="K278" s="16"/>
      <c r="L278" s="15"/>
      <c r="M278" s="63"/>
      <c r="N278" s="17"/>
      <c r="O278" s="16"/>
      <c r="P278" s="16"/>
      <c r="Q278" s="152">
        <f t="shared" si="117"/>
        <v>0</v>
      </c>
      <c r="R278" s="152">
        <f t="shared" si="118"/>
        <v>0</v>
      </c>
      <c r="S278" s="152">
        <f t="shared" si="119"/>
        <v>29</v>
      </c>
      <c r="T278" s="18">
        <f t="shared" si="141"/>
        <v>29</v>
      </c>
    </row>
    <row r="279" spans="2:20" x14ac:dyDescent="0.25">
      <c r="B279" s="117" t="s">
        <v>692</v>
      </c>
      <c r="C279" s="136" t="s">
        <v>693</v>
      </c>
      <c r="D279" s="14" t="s">
        <v>15</v>
      </c>
      <c r="E279" s="14" t="s">
        <v>16</v>
      </c>
      <c r="F279" s="142">
        <v>44714</v>
      </c>
      <c r="G279" s="143">
        <v>0.55000000000000004</v>
      </c>
      <c r="H279" s="142"/>
      <c r="I279" s="143"/>
      <c r="J279" s="142"/>
      <c r="K279" s="143"/>
      <c r="L279" s="142"/>
      <c r="M279" s="150"/>
      <c r="N279" s="144"/>
      <c r="O279" s="143"/>
      <c r="P279" s="143"/>
      <c r="Q279" s="152">
        <f t="shared" si="117"/>
        <v>0</v>
      </c>
      <c r="R279" s="152">
        <f t="shared" si="118"/>
        <v>0.55000000000000004</v>
      </c>
      <c r="S279" s="152">
        <f t="shared" si="119"/>
        <v>0.55000000000000004</v>
      </c>
      <c r="T279" s="145">
        <f t="shared" si="141"/>
        <v>0.55000000000000004</v>
      </c>
    </row>
    <row r="280" spans="2:20" x14ac:dyDescent="0.25">
      <c r="B280" s="117" t="s">
        <v>794</v>
      </c>
      <c r="C280" s="136" t="s">
        <v>795</v>
      </c>
      <c r="D280" s="14" t="s">
        <v>15</v>
      </c>
      <c r="E280" s="14" t="s">
        <v>16</v>
      </c>
      <c r="F280" s="142">
        <v>44697</v>
      </c>
      <c r="G280" s="143">
        <v>0.2</v>
      </c>
      <c r="H280" s="142">
        <v>44839</v>
      </c>
      <c r="I280" s="143">
        <v>0.24</v>
      </c>
      <c r="J280" s="142"/>
      <c r="K280" s="143"/>
      <c r="L280" s="142"/>
      <c r="M280" s="150"/>
      <c r="N280" s="144"/>
      <c r="O280" s="143"/>
      <c r="P280" s="143"/>
      <c r="Q280" s="152">
        <f t="shared" si="117"/>
        <v>0</v>
      </c>
      <c r="R280" s="152">
        <f t="shared" si="118"/>
        <v>0.2</v>
      </c>
      <c r="S280" s="152">
        <f t="shared" si="119"/>
        <v>0.2</v>
      </c>
      <c r="T280" s="145">
        <f t="shared" si="141"/>
        <v>0.44</v>
      </c>
    </row>
    <row r="281" spans="2:20" x14ac:dyDescent="0.25">
      <c r="B281" s="117" t="s">
        <v>512</v>
      </c>
      <c r="C281" s="136" t="s">
        <v>513</v>
      </c>
      <c r="D281" s="14" t="s">
        <v>24</v>
      </c>
      <c r="E281" s="14" t="s">
        <v>16</v>
      </c>
      <c r="F281" s="15">
        <v>44708</v>
      </c>
      <c r="G281" s="16">
        <v>0.35</v>
      </c>
      <c r="H281" s="15"/>
      <c r="I281" s="16"/>
      <c r="J281" s="15"/>
      <c r="K281" s="16"/>
      <c r="L281" s="15"/>
      <c r="M281" s="63"/>
      <c r="N281" s="17"/>
      <c r="O281" s="16"/>
      <c r="P281" s="16"/>
      <c r="Q281" s="152">
        <f t="shared" si="117"/>
        <v>0</v>
      </c>
      <c r="R281" s="152">
        <f t="shared" si="118"/>
        <v>0.35</v>
      </c>
      <c r="S281" s="152">
        <f t="shared" si="119"/>
        <v>0.35</v>
      </c>
      <c r="T281" s="18">
        <f t="shared" si="141"/>
        <v>0.35</v>
      </c>
    </row>
    <row r="282" spans="2:20" x14ac:dyDescent="0.25">
      <c r="B282" s="117" t="s">
        <v>514</v>
      </c>
      <c r="C282" s="136" t="s">
        <v>515</v>
      </c>
      <c r="D282" s="14" t="s">
        <v>24</v>
      </c>
      <c r="E282" s="14" t="s">
        <v>16</v>
      </c>
      <c r="F282" s="15"/>
      <c r="G282" s="16"/>
      <c r="H282" s="15"/>
      <c r="I282" s="16"/>
      <c r="J282" s="15"/>
      <c r="K282" s="16"/>
      <c r="L282" s="15"/>
      <c r="M282" s="16"/>
      <c r="N282" s="17"/>
      <c r="O282" s="16"/>
      <c r="P282" s="16"/>
      <c r="Q282" s="152">
        <f t="shared" si="117"/>
        <v>0</v>
      </c>
      <c r="R282" s="152">
        <f t="shared" si="118"/>
        <v>0</v>
      </c>
      <c r="S282" s="152">
        <f t="shared" si="119"/>
        <v>0</v>
      </c>
      <c r="T282" s="18">
        <f t="shared" si="141"/>
        <v>0</v>
      </c>
    </row>
    <row r="283" spans="2:20" x14ac:dyDescent="0.25">
      <c r="B283" s="117" t="s">
        <v>516</v>
      </c>
      <c r="C283" s="136" t="s">
        <v>517</v>
      </c>
      <c r="D283" s="14" t="s">
        <v>24</v>
      </c>
      <c r="E283" s="14" t="s">
        <v>16</v>
      </c>
      <c r="F283" s="15">
        <v>44747</v>
      </c>
      <c r="G283" s="16">
        <v>1</v>
      </c>
      <c r="H283" s="15"/>
      <c r="I283" s="16"/>
      <c r="J283" s="15"/>
      <c r="K283" s="16"/>
      <c r="L283" s="15"/>
      <c r="M283" s="63"/>
      <c r="N283" s="17"/>
      <c r="O283" s="16"/>
      <c r="P283" s="16"/>
      <c r="Q283" s="152">
        <f t="shared" si="117"/>
        <v>0</v>
      </c>
      <c r="R283" s="152">
        <f t="shared" si="118"/>
        <v>0</v>
      </c>
      <c r="S283" s="152">
        <f t="shared" si="119"/>
        <v>1</v>
      </c>
      <c r="T283" s="18">
        <f t="shared" si="141"/>
        <v>1</v>
      </c>
    </row>
    <row r="284" spans="2:20" x14ac:dyDescent="0.25">
      <c r="B284" s="117" t="s">
        <v>727</v>
      </c>
      <c r="C284" s="136" t="s">
        <v>728</v>
      </c>
      <c r="D284" s="14" t="s">
        <v>24</v>
      </c>
      <c r="E284" s="14" t="s">
        <v>16</v>
      </c>
      <c r="F284" s="15">
        <v>44680</v>
      </c>
      <c r="G284" s="16">
        <v>1.65</v>
      </c>
      <c r="H284" s="15"/>
      <c r="I284" s="16"/>
      <c r="J284" s="15"/>
      <c r="K284" s="16"/>
      <c r="L284" s="15"/>
      <c r="M284" s="63"/>
      <c r="N284" s="17"/>
      <c r="O284" s="16"/>
      <c r="P284" s="16"/>
      <c r="Q284" s="152">
        <f t="shared" si="117"/>
        <v>0</v>
      </c>
      <c r="R284" s="152">
        <f t="shared" si="118"/>
        <v>1.65</v>
      </c>
      <c r="S284" s="152">
        <f t="shared" si="119"/>
        <v>1.65</v>
      </c>
      <c r="T284" s="18">
        <f t="shared" si="141"/>
        <v>1.65</v>
      </c>
    </row>
    <row r="285" spans="2:20" x14ac:dyDescent="0.25">
      <c r="B285" s="117" t="s">
        <v>742</v>
      </c>
      <c r="C285" s="136" t="s">
        <v>743</v>
      </c>
      <c r="D285" s="14" t="s">
        <v>15</v>
      </c>
      <c r="E285" s="14" t="s">
        <v>16</v>
      </c>
      <c r="F285" s="15">
        <v>44704</v>
      </c>
      <c r="G285" s="16">
        <v>1.25</v>
      </c>
      <c r="H285" s="15"/>
      <c r="I285" s="16"/>
      <c r="J285" s="15"/>
      <c r="K285" s="16"/>
      <c r="L285" s="15"/>
      <c r="M285" s="63"/>
      <c r="N285" s="17"/>
      <c r="O285" s="16"/>
      <c r="P285" s="16"/>
      <c r="Q285" s="152">
        <f t="shared" si="117"/>
        <v>0</v>
      </c>
      <c r="R285" s="152">
        <f t="shared" si="118"/>
        <v>1.25</v>
      </c>
      <c r="S285" s="152">
        <f t="shared" si="119"/>
        <v>1.25</v>
      </c>
      <c r="T285" s="18">
        <f t="shared" si="141"/>
        <v>1.25</v>
      </c>
    </row>
    <row r="286" spans="2:20" x14ac:dyDescent="0.25">
      <c r="B286" s="117" t="s">
        <v>859</v>
      </c>
      <c r="C286" s="136" t="s">
        <v>860</v>
      </c>
      <c r="D286" s="14" t="s">
        <v>24</v>
      </c>
      <c r="E286" s="14" t="s">
        <v>16</v>
      </c>
      <c r="F286" s="15">
        <v>44908</v>
      </c>
      <c r="G286" s="16">
        <v>1.6</v>
      </c>
      <c r="H286" s="15"/>
      <c r="I286" s="16"/>
      <c r="J286" s="15"/>
      <c r="K286" s="16"/>
      <c r="L286" s="15"/>
      <c r="M286" s="63"/>
      <c r="N286" s="17"/>
      <c r="O286" s="16"/>
      <c r="P286" s="16"/>
      <c r="Q286" s="152">
        <f t="shared" ref="Q286" si="150">IF(F286&lt;=Exp22Q1,G286,0)+IF(H286&lt;=Exp22Q1,I286,0)+IF(J286&lt;=Exp22Q1,K286,0)+IF(L286&lt;=Exp22Q1,M286,0)+IF(N286&lt;=Exp22Q1,O286,0)</f>
        <v>0</v>
      </c>
      <c r="R286" s="152">
        <f t="shared" ref="R286" si="151">IF(F286&lt;=Exp22H1,G286,0)+IF(H286&lt;=Exp22H1,I286,0)+IF(J286&lt;=Exp22H1,K286,0)+IF(L286&lt;=Exp22H1,M286,0)+IF(N286&lt;=Exp22H1,O286,0)</f>
        <v>0</v>
      </c>
      <c r="S286" s="152">
        <f t="shared" ref="S286" si="152">IF(F286&lt;=Exp22Q3,G286,0)+IF(H286&lt;=Exp22Q3,I286,0)+IF(J286&lt;=Exp22Q3,K286,0)+IF(L286&lt;=Exp22Q3,M286,0)+IF(N286&lt;=Exp22Q3,O286,0)</f>
        <v>0</v>
      </c>
      <c r="T286" s="18">
        <f t="shared" ref="T286" si="153">G286+I286+K286+M286+O286</f>
        <v>1.6</v>
      </c>
    </row>
    <row r="287" spans="2:20" ht="15.75" thickBot="1" x14ac:dyDescent="0.3">
      <c r="B287" s="155" t="s">
        <v>520</v>
      </c>
      <c r="C287" s="156" t="s">
        <v>521</v>
      </c>
      <c r="D287" s="39" t="s">
        <v>24</v>
      </c>
      <c r="E287" s="39" t="s">
        <v>16</v>
      </c>
      <c r="F287" s="40">
        <v>44677</v>
      </c>
      <c r="G287" s="41">
        <v>2.25</v>
      </c>
      <c r="H287" s="40">
        <v>44880</v>
      </c>
      <c r="I287" s="41">
        <v>1</v>
      </c>
      <c r="J287" s="40"/>
      <c r="K287" s="41"/>
      <c r="L287" s="40"/>
      <c r="M287" s="79"/>
      <c r="N287" s="42"/>
      <c r="O287" s="41"/>
      <c r="P287" s="41"/>
      <c r="Q287" s="157">
        <f t="shared" si="117"/>
        <v>0</v>
      </c>
      <c r="R287" s="157">
        <f t="shared" si="118"/>
        <v>2.25</v>
      </c>
      <c r="S287" s="157">
        <f t="shared" si="119"/>
        <v>2.25</v>
      </c>
      <c r="T287" s="43">
        <f t="shared" si="141"/>
        <v>3.25</v>
      </c>
    </row>
    <row r="288" spans="2:20" x14ac:dyDescent="0.25">
      <c r="B288" s="161" t="s">
        <v>791</v>
      </c>
      <c r="C288" s="162" t="s">
        <v>525</v>
      </c>
      <c r="D288" s="52" t="s">
        <v>24</v>
      </c>
      <c r="E288" s="52" t="s">
        <v>16</v>
      </c>
      <c r="F288" s="53">
        <v>44677</v>
      </c>
      <c r="G288" s="54">
        <v>0.25</v>
      </c>
      <c r="H288" s="53"/>
      <c r="I288" s="54"/>
      <c r="J288" s="53"/>
      <c r="K288" s="54"/>
      <c r="L288" s="53"/>
      <c r="M288" s="81"/>
      <c r="N288" s="55"/>
      <c r="O288" s="54"/>
      <c r="P288" s="54"/>
      <c r="Q288" s="165"/>
      <c r="R288" s="165"/>
      <c r="S288" s="165"/>
      <c r="T288" s="166"/>
    </row>
    <row r="289" spans="2:20" ht="15.75" thickBot="1" x14ac:dyDescent="0.3">
      <c r="B289" s="163" t="s">
        <v>792</v>
      </c>
      <c r="C289" s="164" t="s">
        <v>525</v>
      </c>
      <c r="D289" s="58" t="s">
        <v>24</v>
      </c>
      <c r="E289" s="58" t="s">
        <v>16</v>
      </c>
      <c r="F289" s="59">
        <f>F280</f>
        <v>44697</v>
      </c>
      <c r="G289" s="60">
        <f t="shared" ref="G289:I289" si="154">G280</f>
        <v>0.2</v>
      </c>
      <c r="H289" s="59">
        <f t="shared" si="154"/>
        <v>44839</v>
      </c>
      <c r="I289" s="60">
        <f t="shared" si="154"/>
        <v>0.24</v>
      </c>
      <c r="J289" s="59"/>
      <c r="K289" s="60"/>
      <c r="L289" s="59"/>
      <c r="M289" s="82"/>
      <c r="N289" s="61"/>
      <c r="O289" s="60"/>
      <c r="P289" s="60"/>
      <c r="Q289" s="167">
        <f>IF(F288&lt;=Exp22Q1,G288,0)+IF(H288&lt;=Exp22Q1,I288,0)+IF(J288&lt;=Exp22Q1,K288,0)+IF(L288&lt;=Exp22Q1,M288,0)+IF(N288&lt;=Exp22Q1,O288,0)+IF(F289&lt;=Exp22Q1,G289,0)+IF(H289&lt;=Exp22Q1,I289,0)+IF(J289&lt;=Exp22Q1,K289,0)+IF(L289&lt;=Exp22Q1,M289,0)+IF(N289&lt;=Exp22Q1,O289,0)</f>
        <v>0</v>
      </c>
      <c r="R289" s="167">
        <f>IF(F288&lt;=Exp22H1,G288,0)+IF(H288&lt;=Exp22H1,I288,0)+IF(J288&lt;=Exp22H1,K288,0)+IF(L288&lt;=Exp22H1,M288,0)+IF(N288&lt;=Exp22H1,O288,0)+IF(F289&lt;=Exp22H1,G289,0)+IF(H289&lt;=Exp22H1,I289,0)+IF(J289&lt;=Exp22H1,K289,0)+IF(L289&lt;=Exp22H1,M289,0)+IF(N289&lt;=Exp22H1,O289,0)</f>
        <v>0.45</v>
      </c>
      <c r="S289" s="167">
        <f>IF(F288&lt;=Exp22Q3,G288,0)+IF(H288&lt;=Exp22Q3,I288,0)+IF(J288&lt;=Exp22Q3,K288,0)+IF(L288&lt;=Exp22Q3,M288,0)+IF(N288&lt;=Exp22Q3,O288,0)+IF(F289&lt;=Exp22Q3,G289,0)+IF(H289&lt;=Exp22Q3,I289,0)+IF(J289&lt;=Exp22Q3,K289,0)+IF(L289&lt;=Exp22Q3,M289,0)+IF(N289&lt;=Exp22Q3,O289,0)</f>
        <v>0.45</v>
      </c>
      <c r="T289" s="168">
        <f>G288+I288+K288+M288+O288+(G289+I289+K289+M289+O289)</f>
        <v>0.69</v>
      </c>
    </row>
    <row r="290" spans="2:20" x14ac:dyDescent="0.25">
      <c r="B290" s="158" t="s">
        <v>786</v>
      </c>
      <c r="C290" s="159" t="s">
        <v>793</v>
      </c>
      <c r="D290" s="45" t="s">
        <v>24</v>
      </c>
      <c r="E290" s="45" t="s">
        <v>16</v>
      </c>
      <c r="F290" s="46">
        <v>44677</v>
      </c>
      <c r="G290" s="47">
        <v>0.25</v>
      </c>
      <c r="H290" s="46"/>
      <c r="I290" s="47"/>
      <c r="J290" s="46"/>
      <c r="K290" s="47"/>
      <c r="L290" s="46"/>
      <c r="M290" s="80"/>
      <c r="N290" s="48"/>
      <c r="O290" s="47"/>
      <c r="P290" s="47"/>
      <c r="Q290" s="160">
        <f t="shared" ref="Q290:Q300" si="155">IF(F290&lt;=Exp22Q1,G290,0)+IF(H290&lt;=Exp22Q1,I290,0)+IF(J290&lt;=Exp22Q1,K290,0)+IF(L290&lt;=Exp22Q1,M290,0)+IF(N290&lt;=Exp22Q1,O290,0)</f>
        <v>0</v>
      </c>
      <c r="R290" s="160">
        <f t="shared" ref="R290:R300" si="156">IF(F290&lt;=Exp22H1,G290,0)+IF(H290&lt;=Exp22H1,I290,0)+IF(J290&lt;=Exp22H1,K290,0)+IF(L290&lt;=Exp22H1,M290,0)+IF(N290&lt;=Exp22H1,O290,0)</f>
        <v>0.25</v>
      </c>
      <c r="S290" s="160">
        <f t="shared" ref="S290:S300" si="157">IF(F290&lt;=Exp22Q3,G290,0)+IF(H290&lt;=Exp22Q3,I290,0)+IF(J290&lt;=Exp22Q3,K290,0)+IF(L290&lt;=Exp22Q3,M290,0)+IF(N290&lt;=Exp22Q3,O290,0)</f>
        <v>0.25</v>
      </c>
      <c r="T290" s="49">
        <f t="shared" ref="T290" si="158">G290+I290+K290+M290+O290</f>
        <v>0.25</v>
      </c>
    </row>
    <row r="291" spans="2:20" x14ac:dyDescent="0.25">
      <c r="B291" s="117" t="s">
        <v>526</v>
      </c>
      <c r="C291" s="136" t="s">
        <v>527</v>
      </c>
      <c r="D291" s="14" t="s">
        <v>15</v>
      </c>
      <c r="E291" s="14" t="s">
        <v>761</v>
      </c>
      <c r="F291" s="15">
        <v>44713</v>
      </c>
      <c r="G291" s="16">
        <f>0.045*0.85138*100</f>
        <v>3.83121</v>
      </c>
      <c r="H291" s="15">
        <v>44889</v>
      </c>
      <c r="I291" s="16">
        <f>0.045*0.86369*100</f>
        <v>3.8866049999999999</v>
      </c>
      <c r="J291" s="15"/>
      <c r="K291" s="16"/>
      <c r="L291" s="15"/>
      <c r="M291" s="63"/>
      <c r="N291" s="17"/>
      <c r="O291" s="16"/>
      <c r="P291" s="16"/>
      <c r="Q291" s="152">
        <f t="shared" si="155"/>
        <v>0</v>
      </c>
      <c r="R291" s="152">
        <f t="shared" si="156"/>
        <v>3.83121</v>
      </c>
      <c r="S291" s="152">
        <f t="shared" si="157"/>
        <v>3.83121</v>
      </c>
      <c r="T291" s="18">
        <f t="shared" si="141"/>
        <v>7.7178149999999999</v>
      </c>
    </row>
    <row r="292" spans="2:20" x14ac:dyDescent="0.25">
      <c r="B292" s="117" t="s">
        <v>528</v>
      </c>
      <c r="C292" s="136" t="s">
        <v>529</v>
      </c>
      <c r="D292" s="14" t="s">
        <v>15</v>
      </c>
      <c r="E292" s="14" t="s">
        <v>16</v>
      </c>
      <c r="F292" s="15">
        <v>44694</v>
      </c>
      <c r="G292" s="16">
        <v>7.56</v>
      </c>
      <c r="H292" s="15"/>
      <c r="I292" s="16"/>
      <c r="J292" s="15"/>
      <c r="K292" s="16"/>
      <c r="L292" s="15"/>
      <c r="M292" s="63"/>
      <c r="N292" s="17"/>
      <c r="O292" s="16"/>
      <c r="P292" s="16"/>
      <c r="Q292" s="152">
        <f t="shared" si="155"/>
        <v>0</v>
      </c>
      <c r="R292" s="152">
        <f t="shared" si="156"/>
        <v>7.56</v>
      </c>
      <c r="S292" s="152">
        <f t="shared" si="157"/>
        <v>7.56</v>
      </c>
      <c r="T292" s="18">
        <f t="shared" si="141"/>
        <v>7.56</v>
      </c>
    </row>
    <row r="293" spans="2:20" x14ac:dyDescent="0.25">
      <c r="B293" s="117" t="s">
        <v>530</v>
      </c>
      <c r="C293" s="136" t="s">
        <v>531</v>
      </c>
      <c r="D293" s="14" t="s">
        <v>15</v>
      </c>
      <c r="E293" s="14" t="s">
        <v>200</v>
      </c>
      <c r="F293" s="153">
        <v>44658</v>
      </c>
      <c r="G293" s="154">
        <f>6.5*0.96031746</f>
        <v>6.2420634899999996</v>
      </c>
      <c r="H293" s="15"/>
      <c r="I293" s="16"/>
      <c r="J293" s="15"/>
      <c r="K293" s="16"/>
      <c r="L293" s="15"/>
      <c r="M293" s="63"/>
      <c r="N293" s="17"/>
      <c r="O293" s="16"/>
      <c r="P293" s="16"/>
      <c r="Q293" s="152">
        <f t="shared" si="155"/>
        <v>0</v>
      </c>
      <c r="R293" s="152">
        <f t="shared" si="156"/>
        <v>6.2420634899999996</v>
      </c>
      <c r="S293" s="152">
        <f t="shared" si="157"/>
        <v>6.2420634899999996</v>
      </c>
      <c r="T293" s="18">
        <f t="shared" si="141"/>
        <v>6.2420634899999996</v>
      </c>
    </row>
    <row r="294" spans="2:20" x14ac:dyDescent="0.25">
      <c r="B294" s="117" t="s">
        <v>532</v>
      </c>
      <c r="C294" s="136" t="s">
        <v>533</v>
      </c>
      <c r="D294" s="14" t="s">
        <v>15</v>
      </c>
      <c r="E294" s="14" t="s">
        <v>16</v>
      </c>
      <c r="F294" s="15">
        <v>44683</v>
      </c>
      <c r="G294" s="16">
        <v>1.66</v>
      </c>
      <c r="H294" s="15"/>
      <c r="I294" s="16"/>
      <c r="J294" s="15"/>
      <c r="K294" s="16"/>
      <c r="L294" s="15"/>
      <c r="M294" s="63"/>
      <c r="N294" s="17"/>
      <c r="O294" s="16"/>
      <c r="P294" s="16"/>
      <c r="Q294" s="152">
        <f t="shared" si="155"/>
        <v>0</v>
      </c>
      <c r="R294" s="152">
        <f t="shared" si="156"/>
        <v>1.66</v>
      </c>
      <c r="S294" s="152">
        <f t="shared" si="157"/>
        <v>1.66</v>
      </c>
      <c r="T294" s="18">
        <f t="shared" si="141"/>
        <v>1.66</v>
      </c>
    </row>
    <row r="295" spans="2:20" x14ac:dyDescent="0.25">
      <c r="B295" s="117" t="s">
        <v>534</v>
      </c>
      <c r="C295" s="136" t="s">
        <v>535</v>
      </c>
      <c r="D295" s="14" t="s">
        <v>15</v>
      </c>
      <c r="E295" s="14" t="s">
        <v>16</v>
      </c>
      <c r="F295" s="15">
        <v>44673</v>
      </c>
      <c r="G295" s="16">
        <v>1.25</v>
      </c>
      <c r="H295" s="15"/>
      <c r="I295" s="16"/>
      <c r="J295" s="15"/>
      <c r="K295" s="16"/>
      <c r="L295" s="15"/>
      <c r="M295" s="63"/>
      <c r="N295" s="17"/>
      <c r="O295" s="16"/>
      <c r="P295" s="16"/>
      <c r="Q295" s="152">
        <f t="shared" si="155"/>
        <v>0</v>
      </c>
      <c r="R295" s="152">
        <f t="shared" si="156"/>
        <v>1.25</v>
      </c>
      <c r="S295" s="152">
        <f t="shared" si="157"/>
        <v>1.25</v>
      </c>
      <c r="T295" s="18">
        <f t="shared" si="141"/>
        <v>1.25</v>
      </c>
    </row>
    <row r="296" spans="2:20" x14ac:dyDescent="0.25">
      <c r="B296" s="117" t="s">
        <v>744</v>
      </c>
      <c r="C296" s="136" t="s">
        <v>745</v>
      </c>
      <c r="D296" s="14" t="s">
        <v>15</v>
      </c>
      <c r="E296" s="14" t="s">
        <v>16</v>
      </c>
      <c r="F296" s="15">
        <v>44686</v>
      </c>
      <c r="G296" s="16">
        <v>0.75</v>
      </c>
      <c r="H296" s="15"/>
      <c r="I296" s="16"/>
      <c r="J296" s="15"/>
      <c r="K296" s="16"/>
      <c r="L296" s="15"/>
      <c r="M296" s="63"/>
      <c r="N296" s="17"/>
      <c r="O296" s="16"/>
      <c r="P296" s="16"/>
      <c r="Q296" s="152">
        <f t="shared" si="155"/>
        <v>0</v>
      </c>
      <c r="R296" s="152">
        <f t="shared" si="156"/>
        <v>0.75</v>
      </c>
      <c r="S296" s="152">
        <f t="shared" si="157"/>
        <v>0.75</v>
      </c>
      <c r="T296" s="18">
        <f t="shared" si="141"/>
        <v>0.75</v>
      </c>
    </row>
    <row r="297" spans="2:20" x14ac:dyDescent="0.25">
      <c r="B297" s="117" t="s">
        <v>542</v>
      </c>
      <c r="C297" s="136" t="s">
        <v>543</v>
      </c>
      <c r="D297" s="14" t="s">
        <v>15</v>
      </c>
      <c r="E297" s="14" t="s">
        <v>16</v>
      </c>
      <c r="F297" s="15">
        <v>44676</v>
      </c>
      <c r="G297" s="16">
        <v>1.03</v>
      </c>
      <c r="H297" s="15">
        <v>44803</v>
      </c>
      <c r="I297" s="16">
        <v>0.63</v>
      </c>
      <c r="J297" s="15"/>
      <c r="K297" s="16"/>
      <c r="L297" s="15"/>
      <c r="M297" s="63"/>
      <c r="N297" s="17"/>
      <c r="O297" s="16"/>
      <c r="P297" s="16"/>
      <c r="Q297" s="152">
        <f t="shared" si="155"/>
        <v>0</v>
      </c>
      <c r="R297" s="152">
        <f t="shared" si="156"/>
        <v>1.03</v>
      </c>
      <c r="S297" s="152">
        <f t="shared" si="157"/>
        <v>1.6600000000000001</v>
      </c>
      <c r="T297" s="18">
        <f t="shared" si="141"/>
        <v>1.6600000000000001</v>
      </c>
    </row>
    <row r="298" spans="2:20" x14ac:dyDescent="0.25">
      <c r="B298" s="117" t="s">
        <v>544</v>
      </c>
      <c r="C298" s="136" t="s">
        <v>545</v>
      </c>
      <c r="D298" s="14" t="s">
        <v>15</v>
      </c>
      <c r="E298" s="14" t="s">
        <v>761</v>
      </c>
      <c r="F298" s="15">
        <v>44721</v>
      </c>
      <c r="G298" s="16">
        <v>18.7</v>
      </c>
      <c r="H298" s="15">
        <v>44847</v>
      </c>
      <c r="I298" s="16">
        <v>15</v>
      </c>
      <c r="J298" s="15"/>
      <c r="K298" s="16"/>
      <c r="L298" s="15"/>
      <c r="M298" s="63"/>
      <c r="N298" s="17"/>
      <c r="O298" s="16"/>
      <c r="P298" s="16"/>
      <c r="Q298" s="152">
        <f t="shared" si="155"/>
        <v>0</v>
      </c>
      <c r="R298" s="152">
        <f t="shared" si="156"/>
        <v>18.7</v>
      </c>
      <c r="S298" s="152">
        <f t="shared" si="157"/>
        <v>18.7</v>
      </c>
      <c r="T298" s="18">
        <f t="shared" si="141"/>
        <v>33.700000000000003</v>
      </c>
    </row>
    <row r="299" spans="2:20" x14ac:dyDescent="0.25">
      <c r="B299" s="117" t="s">
        <v>769</v>
      </c>
      <c r="C299" s="136" t="s">
        <v>770</v>
      </c>
      <c r="D299" s="14" t="s">
        <v>755</v>
      </c>
      <c r="E299" s="14" t="s">
        <v>475</v>
      </c>
      <c r="F299" s="153">
        <v>44692</v>
      </c>
      <c r="G299" s="154">
        <f>30*0.97788589</f>
        <v>29.336576700000002</v>
      </c>
      <c r="H299" s="15"/>
      <c r="I299" s="16"/>
      <c r="J299" s="15"/>
      <c r="K299" s="16"/>
      <c r="L299" s="15"/>
      <c r="M299" s="63"/>
      <c r="N299" s="17"/>
      <c r="O299" s="16"/>
      <c r="P299" s="16"/>
      <c r="Q299" s="152">
        <f t="shared" si="155"/>
        <v>0</v>
      </c>
      <c r="R299" s="152">
        <f t="shared" si="156"/>
        <v>29.336576700000002</v>
      </c>
      <c r="S299" s="152">
        <f t="shared" si="157"/>
        <v>29.336576700000002</v>
      </c>
      <c r="T299" s="18">
        <f t="shared" si="141"/>
        <v>29.336576700000002</v>
      </c>
    </row>
    <row r="300" spans="2:20" x14ac:dyDescent="0.25">
      <c r="B300" s="117" t="s">
        <v>548</v>
      </c>
      <c r="C300" s="136" t="s">
        <v>549</v>
      </c>
      <c r="D300" s="14" t="s">
        <v>15</v>
      </c>
      <c r="E300" s="14" t="s">
        <v>21</v>
      </c>
      <c r="F300" s="15">
        <v>44659</v>
      </c>
      <c r="G300" s="16">
        <v>22</v>
      </c>
      <c r="H300" s="15"/>
      <c r="I300" s="16"/>
      <c r="J300" s="15"/>
      <c r="K300" s="16"/>
      <c r="L300" s="15"/>
      <c r="M300" s="63"/>
      <c r="N300" s="17"/>
      <c r="O300" s="16"/>
      <c r="P300" s="16"/>
      <c r="Q300" s="152">
        <f t="shared" si="155"/>
        <v>0</v>
      </c>
      <c r="R300" s="152">
        <f t="shared" si="156"/>
        <v>22</v>
      </c>
      <c r="S300" s="152">
        <f t="shared" si="157"/>
        <v>22</v>
      </c>
      <c r="T300" s="18">
        <f t="shared" si="141"/>
        <v>22</v>
      </c>
    </row>
    <row r="301" spans="2:20" x14ac:dyDescent="0.25">
      <c r="B301" s="134" t="s">
        <v>557</v>
      </c>
      <c r="C301" s="135" t="s">
        <v>584</v>
      </c>
      <c r="D301" s="135" t="s">
        <v>55</v>
      </c>
      <c r="E301" s="22" t="s">
        <v>56</v>
      </c>
      <c r="F301" s="23">
        <v>44609</v>
      </c>
      <c r="G301" s="24">
        <v>1.49</v>
      </c>
      <c r="H301" s="23">
        <v>44700</v>
      </c>
      <c r="I301" s="24">
        <v>1.49</v>
      </c>
      <c r="J301" s="23">
        <v>44792</v>
      </c>
      <c r="K301" s="24">
        <v>1.49</v>
      </c>
      <c r="L301" s="23">
        <v>44882</v>
      </c>
      <c r="M301" s="24">
        <v>1.49</v>
      </c>
      <c r="N301" s="25"/>
      <c r="O301" s="24"/>
      <c r="P301" s="24"/>
      <c r="Q301" s="24"/>
      <c r="R301" s="24"/>
      <c r="S301" s="24"/>
      <c r="T301" s="26">
        <f t="shared" si="141"/>
        <v>5.96</v>
      </c>
    </row>
    <row r="302" spans="2:20" x14ac:dyDescent="0.25">
      <c r="B302" s="134" t="s">
        <v>563</v>
      </c>
      <c r="C302" s="135" t="s">
        <v>590</v>
      </c>
      <c r="D302" s="135" t="s">
        <v>55</v>
      </c>
      <c r="E302" s="22" t="s">
        <v>56</v>
      </c>
      <c r="F302" s="23">
        <v>44664</v>
      </c>
      <c r="G302" s="24">
        <v>1.41</v>
      </c>
      <c r="H302" s="23">
        <v>44756</v>
      </c>
      <c r="I302" s="24">
        <v>1.41</v>
      </c>
      <c r="J302" s="23">
        <v>44847</v>
      </c>
      <c r="K302" s="24">
        <v>1.41</v>
      </c>
      <c r="L302" s="23">
        <v>44938</v>
      </c>
      <c r="M302" s="77">
        <v>1.48</v>
      </c>
      <c r="N302" s="25"/>
      <c r="O302" s="24"/>
      <c r="P302" s="24"/>
      <c r="Q302" s="24"/>
      <c r="R302" s="24"/>
      <c r="S302" s="24"/>
      <c r="T302" s="26">
        <f t="shared" si="141"/>
        <v>5.7099999999999991</v>
      </c>
    </row>
    <row r="303" spans="2:20" x14ac:dyDescent="0.25">
      <c r="B303" s="134" t="s">
        <v>554</v>
      </c>
      <c r="C303" s="135" t="s">
        <v>581</v>
      </c>
      <c r="D303" s="135" t="s">
        <v>55</v>
      </c>
      <c r="E303" s="22" t="s">
        <v>56</v>
      </c>
      <c r="F303" s="23">
        <v>44644</v>
      </c>
      <c r="G303" s="24">
        <v>0.9</v>
      </c>
      <c r="H303" s="23">
        <v>44726</v>
      </c>
      <c r="I303" s="24">
        <v>0.9</v>
      </c>
      <c r="J303" s="23">
        <v>44818</v>
      </c>
      <c r="K303" s="24">
        <v>0.94</v>
      </c>
      <c r="L303" s="23">
        <v>44916</v>
      </c>
      <c r="M303" s="77">
        <v>0.94</v>
      </c>
      <c r="N303" s="25"/>
      <c r="O303" s="24"/>
      <c r="P303" s="24"/>
      <c r="Q303" s="24"/>
      <c r="R303" s="24"/>
      <c r="S303" s="24"/>
      <c r="T303" s="26">
        <f t="shared" si="141"/>
        <v>3.68</v>
      </c>
    </row>
    <row r="304" spans="2:20" x14ac:dyDescent="0.25">
      <c r="B304" s="134" t="s">
        <v>53</v>
      </c>
      <c r="C304" s="137" t="s">
        <v>54</v>
      </c>
      <c r="D304" s="135" t="s">
        <v>55</v>
      </c>
      <c r="E304" s="22" t="s">
        <v>56</v>
      </c>
      <c r="F304" s="23"/>
      <c r="G304" s="24"/>
      <c r="H304" s="23"/>
      <c r="I304" s="24"/>
      <c r="J304" s="23"/>
      <c r="K304" s="24"/>
      <c r="L304" s="23"/>
      <c r="M304" s="77"/>
      <c r="N304" s="25"/>
      <c r="O304" s="24"/>
      <c r="P304" s="24"/>
      <c r="Q304" s="24"/>
      <c r="R304" s="24"/>
      <c r="S304" s="24"/>
      <c r="T304" s="26">
        <f t="shared" si="141"/>
        <v>0</v>
      </c>
    </row>
    <row r="305" spans="1:21" x14ac:dyDescent="0.25">
      <c r="B305" s="134" t="s">
        <v>556</v>
      </c>
      <c r="C305" s="137" t="s">
        <v>583</v>
      </c>
      <c r="D305" s="135" t="s">
        <v>55</v>
      </c>
      <c r="E305" s="22" t="s">
        <v>56</v>
      </c>
      <c r="F305" s="23">
        <v>44606</v>
      </c>
      <c r="G305" s="24">
        <v>1.94</v>
      </c>
      <c r="H305" s="23">
        <v>44697</v>
      </c>
      <c r="I305" s="24">
        <v>1.94</v>
      </c>
      <c r="J305" s="23">
        <v>44790</v>
      </c>
      <c r="K305" s="24">
        <v>1.94</v>
      </c>
      <c r="L305" s="23">
        <v>44881</v>
      </c>
      <c r="M305" s="77">
        <v>1.94</v>
      </c>
      <c r="N305" s="25"/>
      <c r="O305" s="24"/>
      <c r="P305" s="24"/>
      <c r="Q305" s="24"/>
      <c r="R305" s="24"/>
      <c r="S305" s="24"/>
      <c r="T305" s="26">
        <f t="shared" si="141"/>
        <v>7.76</v>
      </c>
    </row>
    <row r="306" spans="1:21" x14ac:dyDescent="0.25">
      <c r="B306" s="134" t="s">
        <v>61</v>
      </c>
      <c r="C306" s="137" t="s">
        <v>62</v>
      </c>
      <c r="D306" s="135" t="s">
        <v>55</v>
      </c>
      <c r="E306" s="22" t="s">
        <v>56</v>
      </c>
      <c r="F306" s="23">
        <v>44596</v>
      </c>
      <c r="G306" s="24">
        <v>0.22</v>
      </c>
      <c r="H306" s="23">
        <v>44687</v>
      </c>
      <c r="I306" s="24">
        <v>0.23</v>
      </c>
      <c r="J306" s="23">
        <v>44778</v>
      </c>
      <c r="K306" s="24">
        <v>0.23</v>
      </c>
      <c r="L306" s="23">
        <v>44869</v>
      </c>
      <c r="M306" s="77">
        <v>0.23</v>
      </c>
      <c r="N306" s="25"/>
      <c r="O306" s="24"/>
      <c r="P306" s="24"/>
      <c r="Q306" s="24"/>
      <c r="R306" s="24"/>
      <c r="S306" s="24"/>
      <c r="T306" s="26">
        <f t="shared" si="141"/>
        <v>0.91</v>
      </c>
    </row>
    <row r="307" spans="1:21" x14ac:dyDescent="0.25">
      <c r="B307" s="134" t="s">
        <v>71</v>
      </c>
      <c r="C307" s="137" t="s">
        <v>72</v>
      </c>
      <c r="D307" s="135" t="s">
        <v>55</v>
      </c>
      <c r="E307" s="22" t="s">
        <v>56</v>
      </c>
      <c r="F307" s="23">
        <v>44664</v>
      </c>
      <c r="G307" s="24">
        <v>0.27750000000000002</v>
      </c>
      <c r="H307" s="23">
        <v>44750</v>
      </c>
      <c r="I307" s="24">
        <v>0.27750000000000002</v>
      </c>
      <c r="J307" s="23">
        <v>44840</v>
      </c>
      <c r="K307" s="24">
        <v>0.27750000000000002</v>
      </c>
      <c r="L307" s="23">
        <v>44935</v>
      </c>
      <c r="M307" s="77">
        <v>0.27750000000000002</v>
      </c>
      <c r="N307" s="25"/>
      <c r="O307" s="24"/>
      <c r="P307" s="24"/>
      <c r="Q307" s="24"/>
      <c r="R307" s="24"/>
      <c r="S307" s="24"/>
      <c r="T307" s="26">
        <f t="shared" si="141"/>
        <v>1.1100000000000001</v>
      </c>
    </row>
    <row r="308" spans="1:21" x14ac:dyDescent="0.25">
      <c r="B308" s="134" t="s">
        <v>112</v>
      </c>
      <c r="C308" s="137" t="s">
        <v>113</v>
      </c>
      <c r="D308" s="135" t="s">
        <v>55</v>
      </c>
      <c r="E308" s="22" t="s">
        <v>56</v>
      </c>
      <c r="F308" s="23">
        <v>44623</v>
      </c>
      <c r="G308" s="24">
        <v>0.21</v>
      </c>
      <c r="H308" s="23">
        <v>44714</v>
      </c>
      <c r="I308" s="24">
        <v>0.21</v>
      </c>
      <c r="J308" s="23">
        <v>44805</v>
      </c>
      <c r="K308" s="24">
        <v>0.22</v>
      </c>
      <c r="L308" s="23">
        <v>44896</v>
      </c>
      <c r="M308" s="77">
        <v>0.22</v>
      </c>
      <c r="N308" s="25"/>
      <c r="O308" s="24"/>
      <c r="P308" s="24"/>
      <c r="Q308" s="24"/>
      <c r="R308" s="24"/>
      <c r="S308" s="24"/>
      <c r="T308" s="26">
        <f t="shared" si="141"/>
        <v>0.86</v>
      </c>
    </row>
    <row r="309" spans="1:21" x14ac:dyDescent="0.25">
      <c r="B309" s="134" t="s">
        <v>564</v>
      </c>
      <c r="C309" s="137" t="s">
        <v>591</v>
      </c>
      <c r="D309" s="135" t="s">
        <v>55</v>
      </c>
      <c r="E309" s="22" t="s">
        <v>56</v>
      </c>
      <c r="F309" s="23"/>
      <c r="G309" s="24"/>
      <c r="H309" s="23"/>
      <c r="I309" s="24"/>
      <c r="J309" s="23"/>
      <c r="K309" s="24"/>
      <c r="L309" s="23"/>
      <c r="M309" s="77"/>
      <c r="N309" s="25"/>
      <c r="O309" s="24"/>
      <c r="P309" s="24"/>
      <c r="Q309" s="24"/>
      <c r="R309" s="24"/>
      <c r="S309" s="24"/>
      <c r="T309" s="26">
        <f t="shared" si="141"/>
        <v>0</v>
      </c>
    </row>
    <row r="310" spans="1:21" x14ac:dyDescent="0.25">
      <c r="B310" s="134" t="s">
        <v>566</v>
      </c>
      <c r="C310" s="137" t="s">
        <v>593</v>
      </c>
      <c r="D310" s="135" t="s">
        <v>55</v>
      </c>
      <c r="E310" s="22" t="s">
        <v>56</v>
      </c>
      <c r="F310" s="23">
        <v>44651</v>
      </c>
      <c r="G310" s="24">
        <v>0.54</v>
      </c>
      <c r="H310" s="23">
        <v>44742</v>
      </c>
      <c r="I310" s="24">
        <v>0.54</v>
      </c>
      <c r="J310" s="23">
        <v>44840</v>
      </c>
      <c r="K310" s="24">
        <v>0.54</v>
      </c>
      <c r="L310" s="23">
        <v>44931</v>
      </c>
      <c r="M310" s="77">
        <v>0.56999999999999995</v>
      </c>
      <c r="N310" s="25"/>
      <c r="O310" s="24"/>
      <c r="P310" s="24"/>
      <c r="Q310" s="24"/>
      <c r="R310" s="24"/>
      <c r="S310" s="24"/>
      <c r="T310" s="26">
        <f t="shared" si="141"/>
        <v>2.19</v>
      </c>
    </row>
    <row r="311" spans="1:21" x14ac:dyDescent="0.25">
      <c r="B311" s="134" t="s">
        <v>568</v>
      </c>
      <c r="C311" s="137" t="s">
        <v>595</v>
      </c>
      <c r="D311" s="135" t="s">
        <v>55</v>
      </c>
      <c r="E311" s="22" t="s">
        <v>56</v>
      </c>
      <c r="F311" s="23">
        <v>44641</v>
      </c>
      <c r="G311" s="24">
        <v>4.0999999999999996</v>
      </c>
      <c r="H311" s="23">
        <v>44733</v>
      </c>
      <c r="I311" s="24">
        <v>4.0999999999999996</v>
      </c>
      <c r="J311" s="23">
        <v>44825</v>
      </c>
      <c r="K311" s="24">
        <v>4.0999999999999996</v>
      </c>
      <c r="L311" s="23">
        <v>44914</v>
      </c>
      <c r="M311" s="77">
        <v>4.5999999999999996</v>
      </c>
      <c r="N311" s="25"/>
      <c r="O311" s="24"/>
      <c r="P311" s="24"/>
      <c r="Q311" s="24"/>
      <c r="R311" s="24"/>
      <c r="S311" s="24"/>
      <c r="T311" s="26">
        <f t="shared" si="141"/>
        <v>16.899999999999999</v>
      </c>
    </row>
    <row r="312" spans="1:21" x14ac:dyDescent="0.25">
      <c r="B312" s="134" t="s">
        <v>141</v>
      </c>
      <c r="C312" s="137" t="s">
        <v>142</v>
      </c>
      <c r="D312" s="135" t="s">
        <v>55</v>
      </c>
      <c r="E312" s="22" t="s">
        <v>56</v>
      </c>
      <c r="F312" s="23">
        <v>44607</v>
      </c>
      <c r="G312" s="24">
        <v>1.42</v>
      </c>
      <c r="H312" s="23">
        <v>44698</v>
      </c>
      <c r="I312" s="24">
        <v>1.42</v>
      </c>
      <c r="J312" s="23">
        <v>44791</v>
      </c>
      <c r="K312" s="24">
        <v>1.42</v>
      </c>
      <c r="L312" s="23">
        <v>44882</v>
      </c>
      <c r="M312" s="77">
        <v>1.42</v>
      </c>
      <c r="N312" s="25"/>
      <c r="O312" s="24"/>
      <c r="P312" s="24"/>
      <c r="Q312" s="24"/>
      <c r="R312" s="24"/>
      <c r="S312" s="24"/>
      <c r="T312" s="26">
        <f t="shared" si="141"/>
        <v>5.68</v>
      </c>
    </row>
    <row r="313" spans="1:21" x14ac:dyDescent="0.25">
      <c r="B313" s="134" t="s">
        <v>143</v>
      </c>
      <c r="C313" s="137" t="s">
        <v>144</v>
      </c>
      <c r="D313" s="135" t="s">
        <v>55</v>
      </c>
      <c r="E313" s="22" t="s">
        <v>56</v>
      </c>
      <c r="F313" s="23">
        <v>44656</v>
      </c>
      <c r="G313" s="24">
        <v>0.38</v>
      </c>
      <c r="H313" s="23">
        <v>44747</v>
      </c>
      <c r="I313" s="24">
        <v>0.38</v>
      </c>
      <c r="J313" s="23">
        <v>44838</v>
      </c>
      <c r="K313" s="24">
        <v>0.38</v>
      </c>
      <c r="L313" s="23">
        <v>44930</v>
      </c>
      <c r="M313" s="77">
        <v>0.38</v>
      </c>
      <c r="N313" s="25"/>
      <c r="O313" s="24"/>
      <c r="P313" s="24"/>
      <c r="Q313" s="24"/>
      <c r="R313" s="24"/>
      <c r="S313" s="24"/>
      <c r="T313" s="26">
        <f t="shared" si="141"/>
        <v>1.52</v>
      </c>
    </row>
    <row r="314" spans="1:21" x14ac:dyDescent="0.25">
      <c r="B314" s="134" t="s">
        <v>145</v>
      </c>
      <c r="C314" s="137" t="s">
        <v>146</v>
      </c>
      <c r="D314" s="135" t="s">
        <v>55</v>
      </c>
      <c r="E314" s="22" t="s">
        <v>56</v>
      </c>
      <c r="F314" s="23">
        <v>44596</v>
      </c>
      <c r="G314" s="24">
        <v>0.51</v>
      </c>
      <c r="H314" s="23">
        <v>44680</v>
      </c>
      <c r="I314" s="24">
        <v>0.51</v>
      </c>
      <c r="J314" s="23">
        <v>44771</v>
      </c>
      <c r="K314" s="24">
        <v>0.51</v>
      </c>
      <c r="L314" s="23">
        <v>44869</v>
      </c>
      <c r="M314" s="77">
        <v>0.51</v>
      </c>
      <c r="N314" s="25"/>
      <c r="O314" s="24"/>
      <c r="P314" s="24"/>
      <c r="Q314" s="24"/>
      <c r="R314" s="24"/>
      <c r="S314" s="24"/>
      <c r="T314" s="26">
        <f t="shared" si="141"/>
        <v>2.04</v>
      </c>
    </row>
    <row r="315" spans="1:21" x14ac:dyDescent="0.25">
      <c r="B315" s="134" t="s">
        <v>147</v>
      </c>
      <c r="C315" s="137" t="s">
        <v>148</v>
      </c>
      <c r="D315" s="135" t="s">
        <v>55</v>
      </c>
      <c r="E315" s="22" t="s">
        <v>56</v>
      </c>
      <c r="F315" s="153">
        <v>44629</v>
      </c>
      <c r="G315" s="154">
        <f>1*0.97403796</f>
        <v>0.97403795999999998</v>
      </c>
      <c r="H315" s="153">
        <v>44721</v>
      </c>
      <c r="I315" s="154">
        <f>1*0.97403796</f>
        <v>0.97403795999999998</v>
      </c>
      <c r="J315" s="153">
        <v>44812</v>
      </c>
      <c r="K315" s="154">
        <f>1*0.97403796</f>
        <v>0.97403795999999998</v>
      </c>
      <c r="L315" s="153">
        <v>44903</v>
      </c>
      <c r="M315" s="154">
        <f>1*0.97403796</f>
        <v>0.97403795999999998</v>
      </c>
      <c r="N315" s="25"/>
      <c r="O315" s="24"/>
      <c r="P315" s="24"/>
      <c r="Q315" s="24"/>
      <c r="R315" s="24"/>
      <c r="S315" s="24"/>
      <c r="T315" s="26">
        <f t="shared" si="141"/>
        <v>3.8961518399999999</v>
      </c>
    </row>
    <row r="316" spans="1:21" x14ac:dyDescent="0.25">
      <c r="B316" s="134" t="s">
        <v>149</v>
      </c>
      <c r="C316" s="137" t="s">
        <v>150</v>
      </c>
      <c r="D316" s="135" t="s">
        <v>55</v>
      </c>
      <c r="E316" s="22" t="s">
        <v>56</v>
      </c>
      <c r="F316" s="23">
        <v>44634</v>
      </c>
      <c r="G316" s="24">
        <v>0.44</v>
      </c>
      <c r="H316" s="23">
        <v>44726</v>
      </c>
      <c r="I316" s="24">
        <v>0.44</v>
      </c>
      <c r="J316" s="23">
        <v>44819</v>
      </c>
      <c r="K316" s="24">
        <v>0.44</v>
      </c>
      <c r="L316" s="23">
        <v>44895</v>
      </c>
      <c r="M316" s="77">
        <v>0.44</v>
      </c>
      <c r="N316" s="25"/>
      <c r="O316" s="24"/>
      <c r="P316" s="24"/>
      <c r="Q316" s="24"/>
      <c r="R316" s="24"/>
      <c r="S316" s="24"/>
      <c r="T316" s="26">
        <f t="shared" si="141"/>
        <v>1.76</v>
      </c>
    </row>
    <row r="317" spans="1:21" x14ac:dyDescent="0.25">
      <c r="B317" s="134" t="s">
        <v>550</v>
      </c>
      <c r="C317" s="137" t="s">
        <v>155</v>
      </c>
      <c r="D317" s="135" t="s">
        <v>55</v>
      </c>
      <c r="E317" s="22" t="s">
        <v>56</v>
      </c>
      <c r="F317" s="23">
        <v>44656</v>
      </c>
      <c r="G317" s="24">
        <v>0.27</v>
      </c>
      <c r="H317" s="23">
        <v>44747</v>
      </c>
      <c r="I317" s="24">
        <v>0.27</v>
      </c>
      <c r="J317" s="23">
        <v>44838</v>
      </c>
      <c r="K317" s="24">
        <v>0.27</v>
      </c>
      <c r="L317" s="23">
        <v>44929</v>
      </c>
      <c r="M317" s="24">
        <v>0.27</v>
      </c>
      <c r="N317" s="25"/>
      <c r="O317" s="24"/>
      <c r="P317" s="24"/>
      <c r="Q317" s="24"/>
      <c r="R317" s="24"/>
      <c r="S317" s="24"/>
      <c r="T317" s="26">
        <f t="shared" si="141"/>
        <v>1.08</v>
      </c>
    </row>
    <row r="318" spans="1:21" x14ac:dyDescent="0.25">
      <c r="A318" s="33"/>
      <c r="B318" s="134" t="s">
        <v>160</v>
      </c>
      <c r="C318" s="137" t="s">
        <v>161</v>
      </c>
      <c r="D318" s="135" t="s">
        <v>55</v>
      </c>
      <c r="E318" s="22" t="s">
        <v>56</v>
      </c>
      <c r="F318" s="153">
        <v>44603</v>
      </c>
      <c r="G318" s="154">
        <f>0.46*0.99230008*0.98582422</f>
        <v>0.44998738809109134</v>
      </c>
      <c r="H318" s="153">
        <v>44650</v>
      </c>
      <c r="I318" s="154">
        <f>0.3*0.99230008*0.98582422</f>
        <v>0.29347003571158131</v>
      </c>
      <c r="J318" s="153">
        <v>44697</v>
      </c>
      <c r="K318" s="154">
        <f>0.46*0.99230008*0.98582422</f>
        <v>0.44998738809109134</v>
      </c>
      <c r="L318" s="153">
        <v>44788</v>
      </c>
      <c r="M318" s="154">
        <f>0.46*0.98582422</f>
        <v>0.45347914120000005</v>
      </c>
      <c r="N318" s="25">
        <v>44879</v>
      </c>
      <c r="O318" s="24">
        <v>0.51</v>
      </c>
      <c r="P318" s="24"/>
      <c r="Q318" s="24"/>
      <c r="R318" s="24"/>
      <c r="S318" s="24"/>
      <c r="T318" s="26">
        <f t="shared" si="141"/>
        <v>2.1569239530937638</v>
      </c>
      <c r="U318" s="36"/>
    </row>
    <row r="319" spans="1:21" x14ac:dyDescent="0.25">
      <c r="B319" s="134" t="s">
        <v>577</v>
      </c>
      <c r="C319" s="137" t="s">
        <v>604</v>
      </c>
      <c r="D319" s="135" t="s">
        <v>55</v>
      </c>
      <c r="E319" s="22" t="s">
        <v>56</v>
      </c>
      <c r="F319" s="23">
        <v>44672</v>
      </c>
      <c r="G319" s="24">
        <v>0.55000000000000004</v>
      </c>
      <c r="H319" s="23">
        <v>44763</v>
      </c>
      <c r="I319" s="24">
        <v>0.55000000000000004</v>
      </c>
      <c r="J319" s="23">
        <v>44854</v>
      </c>
      <c r="K319" s="24">
        <v>0.55000000000000004</v>
      </c>
      <c r="L319" s="23">
        <v>44945</v>
      </c>
      <c r="M319" s="77">
        <v>0.60499999999999998</v>
      </c>
      <c r="N319" s="25"/>
      <c r="O319" s="24"/>
      <c r="P319" s="24"/>
      <c r="Q319" s="24"/>
      <c r="R319" s="24"/>
      <c r="S319" s="24"/>
      <c r="T319" s="26">
        <f t="shared" si="141"/>
        <v>2.2549999999999999</v>
      </c>
    </row>
    <row r="320" spans="1:21" x14ac:dyDescent="0.25">
      <c r="B320" s="134" t="s">
        <v>192</v>
      </c>
      <c r="C320" s="137" t="s">
        <v>193</v>
      </c>
      <c r="D320" s="135" t="s">
        <v>55</v>
      </c>
      <c r="E320" s="22" t="s">
        <v>56</v>
      </c>
      <c r="F320" s="23">
        <v>44609</v>
      </c>
      <c r="G320" s="24">
        <v>0.98499999999999999</v>
      </c>
      <c r="H320" s="23">
        <v>44693</v>
      </c>
      <c r="I320" s="24">
        <v>0.98499999999999999</v>
      </c>
      <c r="J320" s="23">
        <v>44784</v>
      </c>
      <c r="K320" s="24">
        <v>1.0049999999999999</v>
      </c>
      <c r="L320" s="23">
        <v>44882</v>
      </c>
      <c r="M320" s="77">
        <v>1.0049999999999999</v>
      </c>
      <c r="N320" s="25"/>
      <c r="O320" s="24"/>
      <c r="P320" s="24"/>
      <c r="Q320" s="24"/>
      <c r="R320" s="24"/>
      <c r="S320" s="24"/>
      <c r="T320" s="26">
        <f t="shared" si="141"/>
        <v>3.9799999999999995</v>
      </c>
    </row>
    <row r="321" spans="1:21" x14ac:dyDescent="0.25">
      <c r="B321" s="134" t="s">
        <v>575</v>
      </c>
      <c r="C321" s="137" t="s">
        <v>602</v>
      </c>
      <c r="D321" s="135" t="s">
        <v>55</v>
      </c>
      <c r="E321" s="22" t="s">
        <v>56</v>
      </c>
      <c r="F321" s="23">
        <v>44606</v>
      </c>
      <c r="G321" s="24">
        <v>0.98</v>
      </c>
      <c r="H321" s="23">
        <v>44694</v>
      </c>
      <c r="I321" s="24">
        <v>0.98</v>
      </c>
      <c r="J321" s="23">
        <v>44785</v>
      </c>
      <c r="K321" s="24">
        <v>0.98</v>
      </c>
      <c r="L321" s="23">
        <v>44879</v>
      </c>
      <c r="M321" s="77">
        <v>0.98</v>
      </c>
      <c r="N321" s="25"/>
      <c r="O321" s="24"/>
      <c r="P321" s="24"/>
      <c r="Q321" s="24"/>
      <c r="R321" s="24"/>
      <c r="S321" s="24"/>
      <c r="T321" s="26">
        <f t="shared" si="141"/>
        <v>3.92</v>
      </c>
    </row>
    <row r="322" spans="1:21" x14ac:dyDescent="0.25">
      <c r="A322" s="33"/>
      <c r="B322" s="134" t="s">
        <v>223</v>
      </c>
      <c r="C322" s="137" t="s">
        <v>224</v>
      </c>
      <c r="D322" s="135" t="s">
        <v>55</v>
      </c>
      <c r="E322" s="22" t="s">
        <v>56</v>
      </c>
      <c r="F322" s="23">
        <v>44601</v>
      </c>
      <c r="G322" s="24">
        <v>0.88</v>
      </c>
      <c r="H322" s="23">
        <v>44693</v>
      </c>
      <c r="I322" s="24">
        <v>0.88</v>
      </c>
      <c r="J322" s="23">
        <v>44784</v>
      </c>
      <c r="K322" s="24">
        <v>0.88</v>
      </c>
      <c r="L322" s="23">
        <v>44879</v>
      </c>
      <c r="M322" s="77">
        <v>0.91</v>
      </c>
      <c r="N322" s="25"/>
      <c r="O322" s="24"/>
      <c r="P322" s="24"/>
      <c r="Q322" s="24"/>
      <c r="R322" s="24"/>
      <c r="S322" s="24"/>
      <c r="T322" s="26">
        <f t="shared" si="141"/>
        <v>3.5500000000000003</v>
      </c>
      <c r="U322" s="36"/>
    </row>
    <row r="323" spans="1:21" x14ac:dyDescent="0.25">
      <c r="A323" s="33"/>
      <c r="B323" s="134" t="s">
        <v>227</v>
      </c>
      <c r="C323" s="137" t="s">
        <v>228</v>
      </c>
      <c r="D323" s="135" t="s">
        <v>55</v>
      </c>
      <c r="E323" s="22" t="s">
        <v>56</v>
      </c>
      <c r="F323" s="23">
        <v>44589</v>
      </c>
      <c r="G323" s="24">
        <v>0.1</v>
      </c>
      <c r="H323" s="23">
        <v>44676</v>
      </c>
      <c r="I323" s="24">
        <v>0.1</v>
      </c>
      <c r="J323" s="23">
        <v>44783</v>
      </c>
      <c r="K323" s="24">
        <v>0.15</v>
      </c>
      <c r="L323" s="23">
        <v>44879</v>
      </c>
      <c r="M323" s="77">
        <v>0.15</v>
      </c>
      <c r="N323" s="25"/>
      <c r="O323" s="24"/>
      <c r="P323" s="24"/>
      <c r="Q323" s="24"/>
      <c r="R323" s="24"/>
      <c r="S323" s="24"/>
      <c r="T323" s="26">
        <f t="shared" ref="T323:T357" si="159">G323+I323+K323+M323+O323</f>
        <v>0.5</v>
      </c>
      <c r="U323" s="36"/>
    </row>
    <row r="324" spans="1:21" x14ac:dyDescent="0.25">
      <c r="B324" s="134" t="s">
        <v>240</v>
      </c>
      <c r="C324" s="137" t="s">
        <v>241</v>
      </c>
      <c r="D324" s="135" t="s">
        <v>55</v>
      </c>
      <c r="E324" s="22" t="s">
        <v>56</v>
      </c>
      <c r="F324" s="153">
        <v>44627</v>
      </c>
      <c r="G324" s="154">
        <f>0.08*0.78034047</f>
        <v>6.2427237599999998E-2</v>
      </c>
      <c r="H324" s="153">
        <v>44739</v>
      </c>
      <c r="I324" s="154">
        <f>0.08*0.78034047</f>
        <v>6.2427237599999998E-2</v>
      </c>
      <c r="J324" s="153">
        <v>44830</v>
      </c>
      <c r="K324" s="154">
        <f>0.08*0.78034047</f>
        <v>6.2427237599999998E-2</v>
      </c>
      <c r="L324" s="153">
        <v>44909</v>
      </c>
      <c r="M324" s="154">
        <f>0.08*0.78034047</f>
        <v>6.2427237599999998E-2</v>
      </c>
      <c r="N324" s="25"/>
      <c r="O324" s="24"/>
      <c r="P324" s="24"/>
      <c r="Q324" s="24"/>
      <c r="R324" s="24"/>
      <c r="S324" s="24"/>
      <c r="T324" s="26">
        <f t="shared" si="159"/>
        <v>0.24970895039999999</v>
      </c>
    </row>
    <row r="325" spans="1:21" x14ac:dyDescent="0.25">
      <c r="B325" s="134" t="s">
        <v>246</v>
      </c>
      <c r="C325" s="137" t="s">
        <v>247</v>
      </c>
      <c r="D325" s="135" t="s">
        <v>55</v>
      </c>
      <c r="E325" s="22" t="s">
        <v>56</v>
      </c>
      <c r="F325" s="23">
        <v>44803</v>
      </c>
      <c r="G325" s="24">
        <v>0.09</v>
      </c>
      <c r="H325" s="23">
        <v>44896</v>
      </c>
      <c r="I325" s="24">
        <v>0.09</v>
      </c>
      <c r="J325" s="23"/>
      <c r="K325" s="24"/>
      <c r="L325" s="23"/>
      <c r="M325" s="77"/>
      <c r="N325" s="25"/>
      <c r="O325" s="24"/>
      <c r="P325" s="24"/>
      <c r="Q325" s="24"/>
      <c r="R325" s="24"/>
      <c r="S325" s="24"/>
      <c r="T325" s="26">
        <f t="shared" si="159"/>
        <v>0.18</v>
      </c>
    </row>
    <row r="326" spans="1:21" x14ac:dyDescent="0.25">
      <c r="B326" s="134" t="s">
        <v>567</v>
      </c>
      <c r="C326" s="137" t="s">
        <v>594</v>
      </c>
      <c r="D326" s="135" t="s">
        <v>55</v>
      </c>
      <c r="E326" s="22" t="s">
        <v>56</v>
      </c>
      <c r="F326" s="23">
        <v>44634</v>
      </c>
      <c r="G326" s="24">
        <v>0.73</v>
      </c>
      <c r="H326" s="23">
        <v>44726</v>
      </c>
      <c r="I326" s="24">
        <v>0.73</v>
      </c>
      <c r="J326" s="23">
        <v>44818</v>
      </c>
      <c r="K326" s="24">
        <v>0.73</v>
      </c>
      <c r="L326" s="23">
        <v>44909</v>
      </c>
      <c r="M326" s="77">
        <v>0.73</v>
      </c>
      <c r="N326" s="25"/>
      <c r="O326" s="24"/>
      <c r="P326" s="24"/>
      <c r="Q326" s="24"/>
      <c r="R326" s="24"/>
      <c r="S326" s="24"/>
      <c r="T326" s="26">
        <f t="shared" si="159"/>
        <v>2.92</v>
      </c>
    </row>
    <row r="327" spans="1:21" x14ac:dyDescent="0.25">
      <c r="B327" s="134" t="s">
        <v>570</v>
      </c>
      <c r="C327" s="137" t="s">
        <v>597</v>
      </c>
      <c r="D327" s="135" t="s">
        <v>55</v>
      </c>
      <c r="E327" s="22" t="s">
        <v>56</v>
      </c>
      <c r="F327" s="23">
        <v>44621</v>
      </c>
      <c r="G327" s="24">
        <v>2</v>
      </c>
      <c r="H327" s="23">
        <v>44712</v>
      </c>
      <c r="I327" s="24">
        <v>2</v>
      </c>
      <c r="J327" s="23">
        <v>44804</v>
      </c>
      <c r="K327" s="24">
        <v>2.5</v>
      </c>
      <c r="L327" s="23">
        <v>44895</v>
      </c>
      <c r="M327" s="77">
        <v>2.5</v>
      </c>
      <c r="N327" s="25"/>
      <c r="O327" s="24"/>
      <c r="P327" s="24"/>
      <c r="Q327" s="24"/>
      <c r="R327" s="24"/>
      <c r="S327" s="24"/>
      <c r="T327" s="26">
        <f t="shared" si="159"/>
        <v>9</v>
      </c>
    </row>
    <row r="328" spans="1:21" x14ac:dyDescent="0.25">
      <c r="B328" s="134" t="s">
        <v>262</v>
      </c>
      <c r="C328" s="137" t="s">
        <v>263</v>
      </c>
      <c r="D328" s="135" t="s">
        <v>55</v>
      </c>
      <c r="E328" s="22" t="s">
        <v>56</v>
      </c>
      <c r="F328" s="23">
        <v>44629</v>
      </c>
      <c r="G328" s="24">
        <v>1.9</v>
      </c>
      <c r="H328" s="23">
        <v>44713</v>
      </c>
      <c r="I328" s="24">
        <v>1.9</v>
      </c>
      <c r="J328" s="23">
        <v>44804</v>
      </c>
      <c r="K328" s="24">
        <v>1.9</v>
      </c>
      <c r="L328" s="23">
        <v>44895</v>
      </c>
      <c r="M328" s="77">
        <v>1.9</v>
      </c>
      <c r="N328" s="25"/>
      <c r="O328" s="24"/>
      <c r="P328" s="24"/>
      <c r="Q328" s="24"/>
      <c r="R328" s="24"/>
      <c r="S328" s="24"/>
      <c r="T328" s="26">
        <f t="shared" si="159"/>
        <v>7.6</v>
      </c>
    </row>
    <row r="329" spans="1:21" x14ac:dyDescent="0.25">
      <c r="B329" s="134" t="s">
        <v>683</v>
      </c>
      <c r="C329" s="137" t="s">
        <v>592</v>
      </c>
      <c r="D329" s="135" t="s">
        <v>55</v>
      </c>
      <c r="E329" s="22" t="s">
        <v>56</v>
      </c>
      <c r="F329" s="23">
        <v>44616</v>
      </c>
      <c r="G329" s="24">
        <v>0.98</v>
      </c>
      <c r="H329" s="23">
        <v>44693</v>
      </c>
      <c r="I329" s="24">
        <v>0.98</v>
      </c>
      <c r="J329" s="23">
        <v>44784</v>
      </c>
      <c r="K329" s="24">
        <v>0.98</v>
      </c>
      <c r="L329" s="23">
        <v>44874</v>
      </c>
      <c r="M329" s="24">
        <v>1.03</v>
      </c>
      <c r="N329" s="25"/>
      <c r="O329" s="24"/>
      <c r="P329" s="24"/>
      <c r="Q329" s="24"/>
      <c r="R329" s="24"/>
      <c r="S329" s="24"/>
      <c r="T329" s="26">
        <f t="shared" si="159"/>
        <v>3.9699999999999998</v>
      </c>
    </row>
    <row r="330" spans="1:21" x14ac:dyDescent="0.25">
      <c r="B330" s="134" t="s">
        <v>553</v>
      </c>
      <c r="C330" s="137" t="s">
        <v>580</v>
      </c>
      <c r="D330" s="135" t="s">
        <v>55</v>
      </c>
      <c r="E330" s="22" t="s">
        <v>56</v>
      </c>
      <c r="F330" s="23">
        <v>44602</v>
      </c>
      <c r="G330" s="24">
        <v>1.64</v>
      </c>
      <c r="H330" s="23">
        <v>44690</v>
      </c>
      <c r="I330" s="24">
        <v>1.65</v>
      </c>
      <c r="J330" s="23">
        <v>44782</v>
      </c>
      <c r="K330" s="24">
        <v>1.65</v>
      </c>
      <c r="L330" s="23">
        <v>44874</v>
      </c>
      <c r="M330" s="77">
        <v>1.65</v>
      </c>
      <c r="N330" s="25"/>
      <c r="O330" s="24"/>
      <c r="P330" s="24"/>
      <c r="Q330" s="24"/>
      <c r="R330" s="24"/>
      <c r="S330" s="24"/>
      <c r="T330" s="26">
        <f t="shared" si="159"/>
        <v>6.59</v>
      </c>
    </row>
    <row r="331" spans="1:21" x14ac:dyDescent="0.25">
      <c r="B331" s="134" t="s">
        <v>612</v>
      </c>
      <c r="C331" s="137" t="s">
        <v>275</v>
      </c>
      <c r="D331" s="135" t="s">
        <v>55</v>
      </c>
      <c r="E331" s="22" t="s">
        <v>56</v>
      </c>
      <c r="F331" s="23">
        <v>44596</v>
      </c>
      <c r="G331" s="24">
        <v>0.36499999999999999</v>
      </c>
      <c r="H331" s="23">
        <v>44686</v>
      </c>
      <c r="I331" s="24">
        <v>0.36499999999999999</v>
      </c>
      <c r="J331" s="23">
        <v>44777</v>
      </c>
      <c r="K331" s="24">
        <v>0.36499999999999999</v>
      </c>
      <c r="L331" s="23">
        <v>44869</v>
      </c>
      <c r="M331" s="77">
        <v>0.36499999999999999</v>
      </c>
      <c r="N331" s="25"/>
      <c r="O331" s="24"/>
      <c r="P331" s="24"/>
      <c r="Q331" s="24"/>
      <c r="R331" s="24"/>
      <c r="S331" s="24"/>
      <c r="T331" s="26">
        <f t="shared" si="159"/>
        <v>1.46</v>
      </c>
    </row>
    <row r="332" spans="1:21" x14ac:dyDescent="0.25">
      <c r="A332" s="33"/>
      <c r="B332" s="134" t="s">
        <v>280</v>
      </c>
      <c r="C332" s="137" t="s">
        <v>281</v>
      </c>
      <c r="D332" s="135" t="s">
        <v>55</v>
      </c>
      <c r="E332" s="22" t="s">
        <v>56</v>
      </c>
      <c r="F332" s="23">
        <v>44610</v>
      </c>
      <c r="G332" s="24">
        <v>1.06</v>
      </c>
      <c r="H332" s="23">
        <v>44704</v>
      </c>
      <c r="I332" s="24">
        <v>1.1299999999999999</v>
      </c>
      <c r="J332" s="23">
        <v>44795</v>
      </c>
      <c r="K332" s="24">
        <v>1.1299999999999999</v>
      </c>
      <c r="L332" s="23">
        <v>44886</v>
      </c>
      <c r="M332" s="77">
        <v>1.1299999999999999</v>
      </c>
      <c r="N332" s="25"/>
      <c r="O332" s="24"/>
      <c r="P332" s="24"/>
      <c r="Q332" s="24"/>
      <c r="R332" s="24"/>
      <c r="S332" s="24"/>
      <c r="T332" s="26">
        <f t="shared" si="159"/>
        <v>4.4499999999999993</v>
      </c>
      <c r="U332" s="36"/>
    </row>
    <row r="333" spans="1:21" x14ac:dyDescent="0.25">
      <c r="B333" s="134" t="s">
        <v>282</v>
      </c>
      <c r="C333" s="137" t="s">
        <v>283</v>
      </c>
      <c r="D333" s="135" t="s">
        <v>55</v>
      </c>
      <c r="E333" s="22" t="s">
        <v>56</v>
      </c>
      <c r="F333" s="23">
        <v>44656</v>
      </c>
      <c r="G333" s="24">
        <v>1</v>
      </c>
      <c r="H333" s="23">
        <v>44747</v>
      </c>
      <c r="I333" s="24">
        <v>1</v>
      </c>
      <c r="J333" s="23">
        <v>44839</v>
      </c>
      <c r="K333" s="24">
        <v>1</v>
      </c>
      <c r="L333" s="23">
        <v>44931</v>
      </c>
      <c r="M333" s="77">
        <v>1</v>
      </c>
      <c r="N333" s="25"/>
      <c r="O333" s="24"/>
      <c r="P333" s="24"/>
      <c r="Q333" s="24"/>
      <c r="R333" s="24"/>
      <c r="S333" s="24"/>
      <c r="T333" s="26">
        <f t="shared" si="159"/>
        <v>4</v>
      </c>
    </row>
    <row r="334" spans="1:21" x14ac:dyDescent="0.25">
      <c r="B334" s="134" t="s">
        <v>562</v>
      </c>
      <c r="C334" s="137" t="s">
        <v>589</v>
      </c>
      <c r="D334" s="135" t="s">
        <v>55</v>
      </c>
      <c r="E334" s="22" t="s">
        <v>56</v>
      </c>
      <c r="F334" s="23">
        <v>44658</v>
      </c>
      <c r="G334" s="24">
        <v>0.49</v>
      </c>
      <c r="H334" s="23">
        <v>44749</v>
      </c>
      <c r="I334" s="24">
        <v>0.49</v>
      </c>
      <c r="J334" s="23">
        <v>44840</v>
      </c>
      <c r="K334" s="24">
        <v>0.49</v>
      </c>
      <c r="L334" s="23">
        <v>44932</v>
      </c>
      <c r="M334" s="77">
        <v>0.56999999999999995</v>
      </c>
      <c r="N334" s="25"/>
      <c r="O334" s="24"/>
      <c r="P334" s="24"/>
      <c r="Q334" s="24"/>
      <c r="R334" s="24"/>
      <c r="S334" s="24"/>
      <c r="T334" s="26">
        <f t="shared" si="159"/>
        <v>2.04</v>
      </c>
    </row>
    <row r="335" spans="1:21" x14ac:dyDescent="0.25">
      <c r="B335" s="134" t="s">
        <v>561</v>
      </c>
      <c r="C335" s="137" t="s">
        <v>588</v>
      </c>
      <c r="D335" s="135" t="s">
        <v>55</v>
      </c>
      <c r="E335" s="22" t="s">
        <v>56</v>
      </c>
      <c r="F335" s="23">
        <v>44620</v>
      </c>
      <c r="G335" s="24">
        <v>1.38</v>
      </c>
      <c r="H335" s="23">
        <v>44715</v>
      </c>
      <c r="I335" s="24">
        <v>1.38</v>
      </c>
      <c r="J335" s="23">
        <v>44804</v>
      </c>
      <c r="K335" s="24">
        <v>1.38</v>
      </c>
      <c r="L335" s="23">
        <v>44895</v>
      </c>
      <c r="M335" s="77">
        <v>1.52</v>
      </c>
      <c r="N335" s="25"/>
      <c r="O335" s="24"/>
      <c r="P335" s="24"/>
      <c r="Q335" s="24"/>
      <c r="R335" s="24"/>
      <c r="S335" s="24"/>
      <c r="T335" s="26">
        <f t="shared" si="159"/>
        <v>5.66</v>
      </c>
    </row>
    <row r="336" spans="1:21" x14ac:dyDescent="0.25">
      <c r="B336" s="134" t="s">
        <v>558</v>
      </c>
      <c r="C336" s="137" t="s">
        <v>585</v>
      </c>
      <c r="D336" s="135" t="s">
        <v>55</v>
      </c>
      <c r="E336" s="22" t="s">
        <v>56</v>
      </c>
      <c r="F336" s="23">
        <v>44644</v>
      </c>
      <c r="G336" s="24">
        <v>0.63</v>
      </c>
      <c r="H336" s="23">
        <v>44735</v>
      </c>
      <c r="I336" s="24">
        <v>0.68</v>
      </c>
      <c r="J336" s="23">
        <v>44826</v>
      </c>
      <c r="K336" s="24">
        <v>0.68</v>
      </c>
      <c r="L336" s="23">
        <v>44914</v>
      </c>
      <c r="M336" s="77">
        <v>0.68</v>
      </c>
      <c r="N336" s="25"/>
      <c r="O336" s="24"/>
      <c r="P336" s="24"/>
      <c r="Q336" s="24"/>
      <c r="R336" s="24"/>
      <c r="S336" s="24"/>
      <c r="T336" s="26">
        <f t="shared" si="159"/>
        <v>2.6700000000000004</v>
      </c>
    </row>
    <row r="337" spans="2:20" x14ac:dyDescent="0.25">
      <c r="B337" s="134" t="s">
        <v>324</v>
      </c>
      <c r="C337" s="137" t="s">
        <v>325</v>
      </c>
      <c r="D337" s="135" t="s">
        <v>55</v>
      </c>
      <c r="E337" s="22" t="s">
        <v>56</v>
      </c>
      <c r="F337" s="23">
        <v>44634</v>
      </c>
      <c r="G337" s="24">
        <v>0.69</v>
      </c>
      <c r="H337" s="23">
        <v>44726</v>
      </c>
      <c r="I337" s="24">
        <v>0.69</v>
      </c>
      <c r="J337" s="23">
        <v>44818</v>
      </c>
      <c r="K337" s="24">
        <v>0.69</v>
      </c>
      <c r="L337" s="23">
        <v>44909</v>
      </c>
      <c r="M337" s="77">
        <v>0.73</v>
      </c>
      <c r="N337" s="25"/>
      <c r="O337" s="24"/>
      <c r="P337" s="24"/>
      <c r="Q337" s="24"/>
      <c r="R337" s="24"/>
      <c r="S337" s="24"/>
      <c r="T337" s="26">
        <f t="shared" si="159"/>
        <v>2.8</v>
      </c>
    </row>
    <row r="338" spans="2:20" x14ac:dyDescent="0.25">
      <c r="B338" s="134" t="s">
        <v>331</v>
      </c>
      <c r="C338" s="137" t="s">
        <v>332</v>
      </c>
      <c r="D338" s="135" t="s">
        <v>55</v>
      </c>
      <c r="E338" s="22" t="s">
        <v>56</v>
      </c>
      <c r="F338" s="23">
        <v>44608</v>
      </c>
      <c r="G338" s="24">
        <v>0.62</v>
      </c>
      <c r="H338" s="23">
        <v>44698</v>
      </c>
      <c r="I338" s="24">
        <v>0.62</v>
      </c>
      <c r="J338" s="23">
        <v>44790</v>
      </c>
      <c r="K338" s="24">
        <v>0.62</v>
      </c>
      <c r="L338" s="23">
        <v>44881</v>
      </c>
      <c r="M338" s="77">
        <v>0.68</v>
      </c>
      <c r="N338" s="25"/>
      <c r="O338" s="24"/>
      <c r="P338" s="24"/>
      <c r="Q338" s="24"/>
      <c r="R338" s="24"/>
      <c r="S338" s="24"/>
      <c r="T338" s="26">
        <f t="shared" si="159"/>
        <v>2.54</v>
      </c>
    </row>
    <row r="339" spans="2:20" x14ac:dyDescent="0.25">
      <c r="B339" s="134" t="s">
        <v>555</v>
      </c>
      <c r="C339" s="137" t="s">
        <v>582</v>
      </c>
      <c r="D339" s="138" t="s">
        <v>55</v>
      </c>
      <c r="E339" s="68" t="s">
        <v>56</v>
      </c>
      <c r="F339" s="23">
        <v>44658</v>
      </c>
      <c r="G339" s="24">
        <v>0.32</v>
      </c>
      <c r="H339" s="23">
        <v>44753</v>
      </c>
      <c r="I339" s="24">
        <v>0.32</v>
      </c>
      <c r="J339" s="23">
        <v>44845</v>
      </c>
      <c r="K339" s="24">
        <v>0.32</v>
      </c>
      <c r="L339" s="23">
        <v>44935</v>
      </c>
      <c r="M339" s="77">
        <v>0.32</v>
      </c>
      <c r="N339" s="25"/>
      <c r="O339" s="24"/>
      <c r="P339" s="24"/>
      <c r="Q339" s="24"/>
      <c r="R339" s="24"/>
      <c r="S339" s="24"/>
      <c r="T339" s="26">
        <f t="shared" si="159"/>
        <v>1.28</v>
      </c>
    </row>
    <row r="340" spans="2:20" x14ac:dyDescent="0.25">
      <c r="B340" s="134" t="s">
        <v>551</v>
      </c>
      <c r="C340" s="137" t="s">
        <v>578</v>
      </c>
      <c r="D340" s="135" t="s">
        <v>55</v>
      </c>
      <c r="E340" s="22" t="s">
        <v>56</v>
      </c>
      <c r="F340" s="23">
        <v>44623</v>
      </c>
      <c r="G340" s="24">
        <v>1.075</v>
      </c>
      <c r="H340" s="23">
        <v>44714</v>
      </c>
      <c r="I340" s="24">
        <v>1.1499999999999999</v>
      </c>
      <c r="J340" s="23">
        <v>44805</v>
      </c>
      <c r="K340" s="24">
        <v>1.1499999999999999</v>
      </c>
      <c r="L340" s="23">
        <v>44896</v>
      </c>
      <c r="M340" s="24">
        <v>1.1499999999999999</v>
      </c>
      <c r="N340" s="25"/>
      <c r="O340" s="24"/>
      <c r="P340" s="24"/>
      <c r="Q340" s="24"/>
      <c r="R340" s="24"/>
      <c r="S340" s="24"/>
      <c r="T340" s="26">
        <f t="shared" si="159"/>
        <v>4.5249999999999995</v>
      </c>
    </row>
    <row r="341" spans="2:20" x14ac:dyDescent="0.25">
      <c r="B341" s="134" t="s">
        <v>363</v>
      </c>
      <c r="C341" s="137" t="s">
        <v>364</v>
      </c>
      <c r="D341" s="135" t="s">
        <v>55</v>
      </c>
      <c r="E341" s="22" t="s">
        <v>56</v>
      </c>
      <c r="F341" s="23">
        <v>44588</v>
      </c>
      <c r="G341" s="24">
        <v>0.4</v>
      </c>
      <c r="H341" s="23">
        <v>44693</v>
      </c>
      <c r="I341" s="24">
        <v>0.4</v>
      </c>
      <c r="J341" s="23">
        <v>44770</v>
      </c>
      <c r="K341" s="24">
        <v>0.4</v>
      </c>
      <c r="L341" s="23">
        <v>44868</v>
      </c>
      <c r="M341" s="24">
        <v>0.4</v>
      </c>
      <c r="N341" s="25"/>
      <c r="O341" s="24"/>
      <c r="P341" s="24"/>
      <c r="Q341" s="24"/>
      <c r="R341" s="24"/>
      <c r="S341" s="24"/>
      <c r="T341" s="26">
        <f t="shared" si="159"/>
        <v>1.6</v>
      </c>
    </row>
    <row r="342" spans="2:20" x14ac:dyDescent="0.25">
      <c r="B342" s="134" t="s">
        <v>606</v>
      </c>
      <c r="C342" s="137" t="s">
        <v>365</v>
      </c>
      <c r="D342" s="135" t="s">
        <v>55</v>
      </c>
      <c r="E342" s="22" t="s">
        <v>56</v>
      </c>
      <c r="F342" s="23">
        <v>44643</v>
      </c>
      <c r="G342" s="24">
        <v>1.25</v>
      </c>
      <c r="H342" s="23">
        <v>44742</v>
      </c>
      <c r="I342" s="24">
        <v>1.25</v>
      </c>
      <c r="J342" s="23">
        <v>44831</v>
      </c>
      <c r="K342" s="24">
        <v>1.27</v>
      </c>
      <c r="L342" s="23">
        <v>44916</v>
      </c>
      <c r="M342" s="24">
        <v>1.27</v>
      </c>
      <c r="N342" s="25"/>
      <c r="O342" s="24"/>
      <c r="P342" s="24"/>
      <c r="Q342" s="24"/>
      <c r="R342" s="24"/>
      <c r="S342" s="24"/>
      <c r="T342" s="26">
        <f t="shared" si="159"/>
        <v>5.04</v>
      </c>
    </row>
    <row r="343" spans="2:20" x14ac:dyDescent="0.25">
      <c r="B343" s="134" t="s">
        <v>355</v>
      </c>
      <c r="C343" s="137" t="s">
        <v>356</v>
      </c>
      <c r="D343" s="135" t="s">
        <v>55</v>
      </c>
      <c r="E343" s="22" t="s">
        <v>56</v>
      </c>
      <c r="F343" s="23">
        <v>44672</v>
      </c>
      <c r="G343" s="24">
        <v>0.9133</v>
      </c>
      <c r="H343" s="23">
        <v>44763</v>
      </c>
      <c r="I343" s="24">
        <v>0.9133</v>
      </c>
      <c r="J343" s="23">
        <v>44854</v>
      </c>
      <c r="K343" s="24">
        <v>0.9133</v>
      </c>
      <c r="L343" s="23">
        <v>44945</v>
      </c>
      <c r="M343" s="24">
        <v>0.9133</v>
      </c>
      <c r="N343" s="25"/>
      <c r="O343" s="24"/>
      <c r="P343" s="24"/>
      <c r="Q343" s="24"/>
      <c r="R343" s="24"/>
      <c r="S343" s="24"/>
      <c r="T343" s="26">
        <f t="shared" si="159"/>
        <v>3.6532</v>
      </c>
    </row>
    <row r="344" spans="2:20" x14ac:dyDescent="0.25">
      <c r="B344" s="134" t="s">
        <v>572</v>
      </c>
      <c r="C344" s="137" t="s">
        <v>599</v>
      </c>
      <c r="D344" s="135" t="s">
        <v>55</v>
      </c>
      <c r="E344" s="22" t="s">
        <v>56</v>
      </c>
      <c r="F344" s="23">
        <v>44622</v>
      </c>
      <c r="G344" s="24">
        <v>0.68</v>
      </c>
      <c r="H344" s="139">
        <v>44713</v>
      </c>
      <c r="I344" s="140">
        <v>0.75</v>
      </c>
      <c r="J344" s="139">
        <v>44804</v>
      </c>
      <c r="K344" s="140">
        <v>0.75</v>
      </c>
      <c r="L344" s="139">
        <v>44895</v>
      </c>
      <c r="M344" s="140">
        <v>0.75</v>
      </c>
      <c r="N344" s="141"/>
      <c r="O344" s="140"/>
      <c r="P344" s="140"/>
      <c r="Q344" s="140"/>
      <c r="R344" s="140"/>
      <c r="S344" s="140"/>
      <c r="T344" s="26">
        <f t="shared" si="159"/>
        <v>2.93</v>
      </c>
    </row>
    <row r="345" spans="2:20" x14ac:dyDescent="0.25">
      <c r="B345" s="134" t="s">
        <v>559</v>
      </c>
      <c r="C345" s="137" t="s">
        <v>586</v>
      </c>
      <c r="D345" s="135" t="s">
        <v>55</v>
      </c>
      <c r="E345" s="22" t="s">
        <v>56</v>
      </c>
      <c r="F345" s="23">
        <v>44600</v>
      </c>
      <c r="G345" s="24">
        <v>0.125</v>
      </c>
      <c r="H345" s="23">
        <v>44712</v>
      </c>
      <c r="I345" s="24">
        <v>0.17499999999999999</v>
      </c>
      <c r="J345" s="23">
        <v>44810</v>
      </c>
      <c r="K345" s="24">
        <v>0.17499999999999999</v>
      </c>
      <c r="L345" s="23">
        <v>44901</v>
      </c>
      <c r="M345" s="77">
        <v>0.17499999999999999</v>
      </c>
      <c r="N345" s="25"/>
      <c r="O345" s="24"/>
      <c r="P345" s="24"/>
      <c r="Q345" s="24"/>
      <c r="R345" s="24"/>
      <c r="S345" s="24"/>
      <c r="T345" s="26">
        <f t="shared" si="159"/>
        <v>0.64999999999999991</v>
      </c>
    </row>
    <row r="346" spans="2:20" x14ac:dyDescent="0.25">
      <c r="B346" s="134" t="s">
        <v>443</v>
      </c>
      <c r="C346" s="137" t="s">
        <v>444</v>
      </c>
      <c r="D346" s="135" t="s">
        <v>55</v>
      </c>
      <c r="E346" s="22" t="s">
        <v>56</v>
      </c>
      <c r="F346" s="23">
        <v>44610</v>
      </c>
      <c r="G346" s="24">
        <v>0.66</v>
      </c>
      <c r="H346" s="23">
        <v>44694</v>
      </c>
      <c r="I346" s="24">
        <v>0.68</v>
      </c>
      <c r="J346" s="23">
        <v>44785</v>
      </c>
      <c r="K346" s="24">
        <v>0.68</v>
      </c>
      <c r="L346" s="23">
        <v>44883</v>
      </c>
      <c r="M346" s="77">
        <v>0.68</v>
      </c>
      <c r="N346" s="25"/>
      <c r="O346" s="24"/>
      <c r="P346" s="24"/>
      <c r="Q346" s="24"/>
      <c r="R346" s="24"/>
      <c r="S346" s="24"/>
      <c r="T346" s="26">
        <f t="shared" si="159"/>
        <v>2.7</v>
      </c>
    </row>
    <row r="347" spans="2:20" x14ac:dyDescent="0.25">
      <c r="B347" s="134" t="s">
        <v>571</v>
      </c>
      <c r="C347" s="137" t="s">
        <v>598</v>
      </c>
      <c r="D347" s="135" t="s">
        <v>55</v>
      </c>
      <c r="E347" s="22" t="s">
        <v>56</v>
      </c>
      <c r="F347" s="23">
        <v>44602</v>
      </c>
      <c r="G347" s="24">
        <v>0.49</v>
      </c>
      <c r="H347" s="23">
        <v>44693</v>
      </c>
      <c r="I347" s="24">
        <v>0.49</v>
      </c>
      <c r="J347" s="23">
        <v>44784</v>
      </c>
      <c r="K347" s="24">
        <v>0.49</v>
      </c>
      <c r="L347" s="23">
        <v>44874</v>
      </c>
      <c r="M347" s="77">
        <v>0.53</v>
      </c>
      <c r="N347" s="25"/>
      <c r="O347" s="24"/>
      <c r="P347" s="24"/>
      <c r="Q347" s="24"/>
      <c r="R347" s="24"/>
      <c r="S347" s="24"/>
      <c r="T347" s="26">
        <f t="shared" si="159"/>
        <v>2</v>
      </c>
    </row>
    <row r="348" spans="2:20" x14ac:dyDescent="0.25">
      <c r="B348" s="134" t="s">
        <v>576</v>
      </c>
      <c r="C348" s="137" t="s">
        <v>603</v>
      </c>
      <c r="D348" s="135" t="s">
        <v>55</v>
      </c>
      <c r="E348" s="22" t="s">
        <v>56</v>
      </c>
      <c r="F348" s="23">
        <v>44589</v>
      </c>
      <c r="G348" s="24">
        <v>1.1499999999999999</v>
      </c>
      <c r="H348" s="23">
        <v>44687</v>
      </c>
      <c r="I348" s="24">
        <v>1.1499999999999999</v>
      </c>
      <c r="J348" s="23">
        <v>44771</v>
      </c>
      <c r="K348" s="24">
        <v>1.1499999999999999</v>
      </c>
      <c r="L348" s="23">
        <v>44862</v>
      </c>
      <c r="M348" s="77">
        <v>1.24</v>
      </c>
      <c r="N348" s="25"/>
      <c r="O348" s="24"/>
      <c r="P348" s="24"/>
      <c r="Q348" s="24"/>
      <c r="R348" s="24"/>
      <c r="S348" s="24"/>
      <c r="T348" s="26">
        <f t="shared" si="159"/>
        <v>4.6899999999999995</v>
      </c>
    </row>
    <row r="349" spans="2:20" x14ac:dyDescent="0.25">
      <c r="B349" s="134" t="s">
        <v>569</v>
      </c>
      <c r="C349" s="137" t="s">
        <v>596</v>
      </c>
      <c r="D349" s="135" t="s">
        <v>55</v>
      </c>
      <c r="E349" s="22" t="s">
        <v>56</v>
      </c>
      <c r="F349" s="23">
        <v>44617</v>
      </c>
      <c r="G349" s="24">
        <v>1.18</v>
      </c>
      <c r="H349" s="23">
        <v>44708</v>
      </c>
      <c r="I349" s="24">
        <v>1.3</v>
      </c>
      <c r="J349" s="23">
        <v>44803</v>
      </c>
      <c r="K349" s="24">
        <v>1.3</v>
      </c>
      <c r="L349" s="23">
        <v>44911</v>
      </c>
      <c r="M349" s="77">
        <v>1.3</v>
      </c>
      <c r="N349" s="25"/>
      <c r="O349" s="24"/>
      <c r="P349" s="24"/>
      <c r="Q349" s="24"/>
      <c r="R349" s="24"/>
      <c r="S349" s="24"/>
      <c r="T349" s="26">
        <f t="shared" si="159"/>
        <v>5.08</v>
      </c>
    </row>
    <row r="350" spans="2:20" x14ac:dyDescent="0.25">
      <c r="B350" s="134" t="s">
        <v>697</v>
      </c>
      <c r="C350" s="137" t="s">
        <v>600</v>
      </c>
      <c r="D350" s="135" t="s">
        <v>55</v>
      </c>
      <c r="E350" s="22" t="s">
        <v>56</v>
      </c>
      <c r="F350" s="23">
        <v>44616</v>
      </c>
      <c r="G350" s="24">
        <v>0.51</v>
      </c>
      <c r="H350" s="23">
        <v>44700</v>
      </c>
      <c r="I350" s="24">
        <v>0.55000000000000004</v>
      </c>
      <c r="J350" s="23">
        <v>44791</v>
      </c>
      <c r="K350" s="24">
        <v>0.55000000000000004</v>
      </c>
      <c r="L350" s="23">
        <v>44882</v>
      </c>
      <c r="M350" s="77">
        <v>0.55000000000000004</v>
      </c>
      <c r="N350" s="25"/>
      <c r="O350" s="24"/>
      <c r="P350" s="24"/>
      <c r="Q350" s="24"/>
      <c r="R350" s="24"/>
      <c r="S350" s="24"/>
      <c r="T350" s="26">
        <f t="shared" si="159"/>
        <v>2.16</v>
      </c>
    </row>
    <row r="351" spans="2:20" x14ac:dyDescent="0.25">
      <c r="B351" s="134" t="s">
        <v>552</v>
      </c>
      <c r="C351" s="137" t="s">
        <v>579</v>
      </c>
      <c r="D351" s="135" t="s">
        <v>55</v>
      </c>
      <c r="E351" s="22" t="s">
        <v>56</v>
      </c>
      <c r="F351" s="23">
        <v>44631</v>
      </c>
      <c r="G351" s="24">
        <v>1.45</v>
      </c>
      <c r="H351" s="23">
        <v>44728</v>
      </c>
      <c r="I351" s="24">
        <v>1.65</v>
      </c>
      <c r="J351" s="23">
        <v>44813</v>
      </c>
      <c r="K351" s="24">
        <v>1.65</v>
      </c>
      <c r="L351" s="23">
        <v>44897</v>
      </c>
      <c r="M351" s="77">
        <v>1.65</v>
      </c>
      <c r="N351" s="25"/>
      <c r="O351" s="24"/>
      <c r="P351" s="24"/>
      <c r="Q351" s="24"/>
      <c r="R351" s="24"/>
      <c r="S351" s="24"/>
      <c r="T351" s="26">
        <f t="shared" si="159"/>
        <v>6.4</v>
      </c>
    </row>
    <row r="352" spans="2:20" x14ac:dyDescent="0.25">
      <c r="B352" s="134" t="s">
        <v>574</v>
      </c>
      <c r="C352" s="137" t="s">
        <v>601</v>
      </c>
      <c r="D352" s="135" t="s">
        <v>55</v>
      </c>
      <c r="E352" s="22" t="s">
        <v>56</v>
      </c>
      <c r="F352" s="23">
        <v>44650</v>
      </c>
      <c r="G352" s="24">
        <v>0.46</v>
      </c>
      <c r="H352" s="23">
        <v>44741</v>
      </c>
      <c r="I352" s="24">
        <v>0.46</v>
      </c>
      <c r="J352" s="23">
        <v>44833</v>
      </c>
      <c r="K352" s="24">
        <v>0.48</v>
      </c>
      <c r="L352" s="23">
        <v>44924</v>
      </c>
      <c r="M352" s="24">
        <v>0.48</v>
      </c>
      <c r="N352" s="25"/>
      <c r="O352" s="24"/>
      <c r="P352" s="24"/>
      <c r="Q352" s="24"/>
      <c r="R352" s="24"/>
      <c r="S352" s="24"/>
      <c r="T352" s="26">
        <f t="shared" si="159"/>
        <v>1.88</v>
      </c>
    </row>
    <row r="353" spans="2:20" x14ac:dyDescent="0.25">
      <c r="B353" s="134" t="s">
        <v>518</v>
      </c>
      <c r="C353" s="137" t="s">
        <v>519</v>
      </c>
      <c r="D353" s="135" t="s">
        <v>55</v>
      </c>
      <c r="E353" s="22" t="s">
        <v>56</v>
      </c>
      <c r="F353" s="23">
        <v>44658</v>
      </c>
      <c r="G353" s="24">
        <v>0.64</v>
      </c>
      <c r="H353" s="23">
        <v>44749</v>
      </c>
      <c r="I353" s="24">
        <v>0.64</v>
      </c>
      <c r="J353" s="23">
        <v>44840</v>
      </c>
      <c r="K353" s="24">
        <v>0.65249999999999997</v>
      </c>
      <c r="L353" s="23">
        <v>44935</v>
      </c>
      <c r="M353" s="77">
        <v>0.65249999999999997</v>
      </c>
      <c r="N353" s="25"/>
      <c r="O353" s="24"/>
      <c r="P353" s="24"/>
      <c r="Q353" s="24"/>
      <c r="R353" s="24"/>
      <c r="S353" s="24"/>
      <c r="T353" s="26">
        <f t="shared" si="159"/>
        <v>2.585</v>
      </c>
    </row>
    <row r="354" spans="2:20" x14ac:dyDescent="0.25">
      <c r="B354" s="134" t="s">
        <v>522</v>
      </c>
      <c r="C354" s="137" t="s">
        <v>523</v>
      </c>
      <c r="D354" s="135" t="s">
        <v>55</v>
      </c>
      <c r="E354" s="22" t="s">
        <v>56</v>
      </c>
      <c r="F354" s="23">
        <v>44602</v>
      </c>
      <c r="G354" s="24">
        <v>0.375</v>
      </c>
      <c r="H354" s="23">
        <v>44693</v>
      </c>
      <c r="I354" s="24">
        <v>0.375</v>
      </c>
      <c r="J354" s="23">
        <v>44784</v>
      </c>
      <c r="K354" s="24">
        <v>0.375</v>
      </c>
      <c r="L354" s="23">
        <v>44874</v>
      </c>
      <c r="M354" s="77">
        <v>0.45</v>
      </c>
      <c r="N354" s="25"/>
      <c r="O354" s="24"/>
      <c r="P354" s="24"/>
      <c r="Q354" s="24"/>
      <c r="R354" s="24"/>
      <c r="S354" s="24"/>
      <c r="T354" s="26">
        <f t="shared" si="159"/>
        <v>1.575</v>
      </c>
    </row>
    <row r="355" spans="2:20" x14ac:dyDescent="0.25">
      <c r="B355" s="134" t="s">
        <v>631</v>
      </c>
      <c r="C355" s="137" t="s">
        <v>587</v>
      </c>
      <c r="D355" s="135" t="s">
        <v>55</v>
      </c>
      <c r="E355" s="22" t="s">
        <v>56</v>
      </c>
      <c r="F355" s="23">
        <v>44637</v>
      </c>
      <c r="G355" s="24">
        <v>0.56000000000000005</v>
      </c>
      <c r="H355" s="23">
        <v>44686</v>
      </c>
      <c r="I355" s="24">
        <v>0.56000000000000005</v>
      </c>
      <c r="J355" s="23">
        <v>44784</v>
      </c>
      <c r="K355" s="24">
        <v>0.56000000000000005</v>
      </c>
      <c r="L355" s="23">
        <v>44903</v>
      </c>
      <c r="M355" s="77">
        <v>0.56000000000000005</v>
      </c>
      <c r="N355" s="25"/>
      <c r="O355" s="24"/>
      <c r="P355" s="24"/>
      <c r="Q355" s="24"/>
      <c r="R355" s="24"/>
      <c r="S355" s="24"/>
      <c r="T355" s="26">
        <f t="shared" si="159"/>
        <v>2.2400000000000002</v>
      </c>
    </row>
    <row r="356" spans="2:20" x14ac:dyDescent="0.25">
      <c r="B356" s="134" t="s">
        <v>536</v>
      </c>
      <c r="C356" s="137" t="s">
        <v>537</v>
      </c>
      <c r="D356" s="135" t="s">
        <v>55</v>
      </c>
      <c r="E356" s="22" t="s">
        <v>56</v>
      </c>
      <c r="F356" s="23"/>
      <c r="G356" s="24"/>
      <c r="H356" s="23"/>
      <c r="I356" s="24"/>
      <c r="J356" s="23"/>
      <c r="K356" s="24"/>
      <c r="L356" s="23"/>
      <c r="M356" s="77"/>
      <c r="N356" s="25"/>
      <c r="O356" s="24"/>
      <c r="P356" s="24"/>
      <c r="Q356" s="24"/>
      <c r="R356" s="24"/>
      <c r="S356" s="24"/>
      <c r="T356" s="26">
        <f t="shared" si="159"/>
        <v>0</v>
      </c>
    </row>
    <row r="357" spans="2:20" x14ac:dyDescent="0.25">
      <c r="B357" s="134" t="s">
        <v>538</v>
      </c>
      <c r="C357" s="137" t="s">
        <v>539</v>
      </c>
      <c r="D357" s="135" t="s">
        <v>55</v>
      </c>
      <c r="E357" s="22" t="s">
        <v>56</v>
      </c>
      <c r="F357" s="23">
        <v>44595</v>
      </c>
      <c r="G357" s="24">
        <v>0.25</v>
      </c>
      <c r="H357" s="23">
        <v>44686</v>
      </c>
      <c r="I357" s="24">
        <v>0.25</v>
      </c>
      <c r="J357" s="23">
        <v>44777</v>
      </c>
      <c r="K357" s="24">
        <v>0.3</v>
      </c>
      <c r="L357" s="23">
        <v>44868</v>
      </c>
      <c r="M357" s="77">
        <v>0.3</v>
      </c>
      <c r="N357" s="25"/>
      <c r="O357" s="24"/>
      <c r="P357" s="24"/>
      <c r="Q357" s="24"/>
      <c r="R357" s="24"/>
      <c r="S357" s="24"/>
      <c r="T357" s="26">
        <f t="shared" si="159"/>
        <v>1.1000000000000001</v>
      </c>
    </row>
  </sheetData>
  <sheetProtection algorithmName="SHA-512" hashValue="gYl5LgfJCxP70SAM1OnBN9xjCNHeyflTFokjxGScqRJ3qVTYL1OFZq3kci8xlkkuAROq9FEXyPqOo1KFrvkOLQ==" saltValue="OuMMKPgJBA3Vq62rA1CLHA==" spinCount="100000" sheet="1" objects="1" scenarios="1"/>
  <mergeCells count="4">
    <mergeCell ref="H9:I9"/>
    <mergeCell ref="J9:K9"/>
    <mergeCell ref="L9:M9"/>
    <mergeCell ref="F11:T11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9"/>
  <dimension ref="A1:U340"/>
  <sheetViews>
    <sheetView showGridLines="0" zoomScale="85" zoomScaleNormal="85" workbookViewId="0">
      <pane xSplit="1" ySplit="12" topLeftCell="B31" activePane="bottomRight" state="frozen"/>
      <selection pane="topRight" activeCell="B1" sqref="B1"/>
      <selection pane="bottomLeft" activeCell="A13" sqref="A13"/>
      <selection pane="bottomRight" activeCell="T43" sqref="T43"/>
    </sheetView>
  </sheetViews>
  <sheetFormatPr defaultColWidth="0" defaultRowHeight="15" x14ac:dyDescent="0.25"/>
  <cols>
    <col min="1" max="1" width="3" customWidth="1"/>
    <col min="2" max="2" width="46.5703125" bestFit="1" customWidth="1"/>
    <col min="3" max="3" width="13.7109375" bestFit="1" customWidth="1"/>
    <col min="4" max="4" width="15.5703125" bestFit="1" customWidth="1"/>
    <col min="5" max="5" width="9.28515625" customWidth="1"/>
    <col min="6" max="6" width="9.7109375" customWidth="1"/>
    <col min="7" max="7" width="9.28515625" customWidth="1"/>
    <col min="8" max="8" width="9.7109375" customWidth="1"/>
    <col min="9" max="9" width="9.28515625" customWidth="1"/>
    <col min="10" max="10" width="9.5703125" bestFit="1" customWidth="1"/>
    <col min="11" max="11" width="9.28515625" customWidth="1"/>
    <col min="12" max="12" width="10" customWidth="1"/>
    <col min="13" max="13" width="9.28515625" customWidth="1"/>
    <col min="14" max="14" width="10" customWidth="1"/>
    <col min="15" max="15" width="9.28515625" customWidth="1"/>
    <col min="16" max="16" width="0.5703125" customWidth="1"/>
    <col min="17" max="20" width="10.7109375" customWidth="1"/>
    <col min="21" max="21" width="3" customWidth="1"/>
    <col min="22" max="16384" width="9.28515625" hidden="1"/>
  </cols>
  <sheetData>
    <row r="1" spans="2:20" x14ac:dyDescent="0.25"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2:20" x14ac:dyDescent="0.25"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2:20" x14ac:dyDescent="0.25"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2:20" x14ac:dyDescent="0.25"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</row>
    <row r="5" spans="2:20" x14ac:dyDescent="0.25"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2:20" x14ac:dyDescent="0.25"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2:20" x14ac:dyDescent="0.25"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2:20" ht="49.5" customHeight="1" x14ac:dyDescent="0.25"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2:20" ht="15" customHeight="1" x14ac:dyDescent="0.25">
      <c r="H9" s="178"/>
      <c r="I9" s="178"/>
      <c r="J9" s="179"/>
      <c r="K9" s="179"/>
      <c r="L9" s="180" t="s">
        <v>0</v>
      </c>
      <c r="M9" s="180"/>
      <c r="N9" s="1"/>
      <c r="O9" s="2" t="s">
        <v>1</v>
      </c>
      <c r="P9" s="2"/>
      <c r="Q9" s="2"/>
      <c r="R9" s="2"/>
      <c r="S9" s="2"/>
      <c r="T9" s="3">
        <v>44581</v>
      </c>
    </row>
    <row r="10" spans="2:20" ht="3.75" customHeight="1" x14ac:dyDescent="0.25">
      <c r="F10" s="1"/>
      <c r="G10" s="1"/>
      <c r="H10" s="1"/>
      <c r="I10" s="1"/>
      <c r="J10" s="1"/>
      <c r="K10" s="1"/>
      <c r="L10" s="1"/>
      <c r="M10" s="1"/>
      <c r="N10" s="1"/>
      <c r="O10" s="2"/>
      <c r="P10" s="2"/>
      <c r="Q10" s="2"/>
      <c r="R10" s="2"/>
      <c r="S10" s="2"/>
      <c r="T10" s="3"/>
    </row>
    <row r="11" spans="2:20" ht="50.25" customHeight="1" x14ac:dyDescent="0.25">
      <c r="B11" s="4" t="s">
        <v>2</v>
      </c>
      <c r="C11" s="5"/>
      <c r="D11" s="5"/>
      <c r="E11" s="5"/>
      <c r="F11" s="181" t="s">
        <v>803</v>
      </c>
      <c r="G11" s="181"/>
      <c r="H11" s="181"/>
      <c r="I11" s="181"/>
      <c r="J11" s="181"/>
      <c r="K11" s="181"/>
      <c r="L11" s="181"/>
      <c r="M11" s="181"/>
      <c r="N11" s="181"/>
      <c r="O11" s="181"/>
      <c r="P11" s="181"/>
      <c r="Q11" s="181"/>
      <c r="R11" s="181"/>
      <c r="S11" s="181"/>
      <c r="T11" s="177"/>
    </row>
    <row r="12" spans="2:20" x14ac:dyDescent="0.25">
      <c r="B12" s="7" t="s">
        <v>4</v>
      </c>
      <c r="C12" s="7" t="s">
        <v>5</v>
      </c>
      <c r="D12" s="7" t="s">
        <v>6</v>
      </c>
      <c r="E12" s="7" t="s">
        <v>7</v>
      </c>
      <c r="F12" s="8" t="s">
        <v>8</v>
      </c>
      <c r="G12" s="8"/>
      <c r="H12" s="8" t="s">
        <v>9</v>
      </c>
      <c r="I12" s="8"/>
      <c r="J12" s="8" t="s">
        <v>10</v>
      </c>
      <c r="K12" s="8"/>
      <c r="L12" s="8" t="s">
        <v>11</v>
      </c>
      <c r="M12" s="8"/>
      <c r="N12" s="8" t="s">
        <v>605</v>
      </c>
      <c r="O12" s="8"/>
      <c r="P12" s="8"/>
      <c r="Q12" s="8" t="s">
        <v>706</v>
      </c>
      <c r="R12" s="8" t="s">
        <v>707</v>
      </c>
      <c r="S12" s="8" t="s">
        <v>708</v>
      </c>
      <c r="T12" s="8" t="s">
        <v>705</v>
      </c>
    </row>
    <row r="13" spans="2:20" ht="6.75" customHeight="1" x14ac:dyDescent="0.25">
      <c r="B13" s="9"/>
      <c r="C13" s="9"/>
      <c r="D13" s="9"/>
      <c r="E13" s="10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</row>
    <row r="14" spans="2:20" x14ac:dyDescent="0.25">
      <c r="B14" s="117" t="s">
        <v>13</v>
      </c>
      <c r="C14" s="136" t="s">
        <v>14</v>
      </c>
      <c r="D14" s="14" t="s">
        <v>15</v>
      </c>
      <c r="E14" s="14" t="s">
        <v>16</v>
      </c>
      <c r="F14" s="15">
        <v>44340</v>
      </c>
      <c r="G14" s="16">
        <v>0.08</v>
      </c>
      <c r="H14" s="15"/>
      <c r="I14" s="16"/>
      <c r="J14" s="15"/>
      <c r="K14" s="16"/>
      <c r="L14" s="15"/>
      <c r="M14" s="63"/>
      <c r="N14" s="17"/>
      <c r="O14" s="16"/>
      <c r="P14" s="16"/>
      <c r="Q14" s="152">
        <f t="shared" ref="Q14:Q85" si="0">IF(F14&lt;=ExpQ1,G14,0)+IF(H14&lt;=ExpQ1,I14,0)+IF(J14&lt;=ExpQ1,K14,0)+IF(L14&lt;=ExpQ1,M14,0)+IF(N14&lt;=ExpQ1,O14,0)</f>
        <v>0</v>
      </c>
      <c r="R14" s="152">
        <f>IF(F14&lt;=ExpH1,G14,0)+IF(H14&lt;=ExpH1,I14,0)+IF(J14&lt;=ExpH1,K14,0)+IF(L14&lt;=ExpH1,M14,0)+IF(N14&lt;=ExpH1,O14,0)</f>
        <v>0.08</v>
      </c>
      <c r="S14" s="152">
        <f t="shared" ref="S14:S85" si="1">IF(F14&lt;=ExpQ3,G14,0)+IF(H14&lt;=ExpQ3,I14,0)+IF(J14&lt;=ExpQ3,K14,0)+IF(L14&lt;=ExpQ3,M14,0)+IF(N14&lt;=ExpQ3,O14,0)</f>
        <v>0.08</v>
      </c>
      <c r="T14" s="18">
        <f t="shared" ref="T14:T85" si="2">G14+I14+K14+M14+O14</f>
        <v>0.08</v>
      </c>
    </row>
    <row r="15" spans="2:20" x14ac:dyDescent="0.25">
      <c r="B15" s="117" t="s">
        <v>684</v>
      </c>
      <c r="C15" s="136" t="s">
        <v>18</v>
      </c>
      <c r="D15" s="14" t="s">
        <v>15</v>
      </c>
      <c r="E15" s="14" t="s">
        <v>16</v>
      </c>
      <c r="F15" s="15">
        <v>44347</v>
      </c>
      <c r="G15" s="16">
        <v>0.6</v>
      </c>
      <c r="H15" s="15"/>
      <c r="I15" s="16"/>
      <c r="J15" s="15"/>
      <c r="K15" s="16"/>
      <c r="L15" s="15"/>
      <c r="M15" s="63"/>
      <c r="N15" s="17"/>
      <c r="O15" s="16"/>
      <c r="P15" s="16"/>
      <c r="Q15" s="152">
        <f t="shared" si="0"/>
        <v>0</v>
      </c>
      <c r="R15" s="152">
        <f t="shared" ref="R15:R85" si="3">IF(F15&lt;=ExpH1,G15,0)+IF(H15&lt;=ExpH1,I15,0)+IF(J15&lt;=ExpH1,K15,0)+IF(L15&lt;=ExpH1,M15,0)+IF(N15&lt;=ExpH1,O15,0)</f>
        <v>0.6</v>
      </c>
      <c r="S15" s="152">
        <f t="shared" si="1"/>
        <v>0.6</v>
      </c>
      <c r="T15" s="18">
        <f t="shared" si="2"/>
        <v>0.6</v>
      </c>
    </row>
    <row r="16" spans="2:20" x14ac:dyDescent="0.25">
      <c r="B16" s="117" t="s">
        <v>19</v>
      </c>
      <c r="C16" s="136" t="s">
        <v>20</v>
      </c>
      <c r="D16" s="14" t="s">
        <v>15</v>
      </c>
      <c r="E16" s="14" t="s">
        <v>21</v>
      </c>
      <c r="F16" s="15">
        <v>44284</v>
      </c>
      <c r="G16" s="16">
        <v>0.8</v>
      </c>
      <c r="H16" s="15"/>
      <c r="I16" s="16"/>
      <c r="J16" s="15"/>
      <c r="K16" s="16"/>
      <c r="L16" s="15"/>
      <c r="M16" s="63"/>
      <c r="N16" s="17"/>
      <c r="O16" s="16"/>
      <c r="P16" s="16"/>
      <c r="Q16" s="152">
        <f t="shared" si="0"/>
        <v>0</v>
      </c>
      <c r="R16" s="152">
        <f t="shared" si="3"/>
        <v>0.8</v>
      </c>
      <c r="S16" s="152">
        <f t="shared" si="1"/>
        <v>0.8</v>
      </c>
      <c r="T16" s="18">
        <f t="shared" si="2"/>
        <v>0.8</v>
      </c>
    </row>
    <row r="17" spans="2:20" x14ac:dyDescent="0.25">
      <c r="B17" s="117" t="s">
        <v>715</v>
      </c>
      <c r="C17" s="136" t="s">
        <v>716</v>
      </c>
      <c r="D17" s="14" t="s">
        <v>15</v>
      </c>
      <c r="E17" s="14" t="s">
        <v>16</v>
      </c>
      <c r="F17" s="15">
        <v>44470</v>
      </c>
      <c r="G17" s="16">
        <v>0.68</v>
      </c>
      <c r="H17" s="15"/>
      <c r="I17" s="16"/>
      <c r="J17" s="15"/>
      <c r="K17" s="16"/>
      <c r="L17" s="15"/>
      <c r="M17" s="63"/>
      <c r="N17" s="17"/>
      <c r="O17" s="16"/>
      <c r="P17" s="16"/>
      <c r="Q17" s="152">
        <f t="shared" ref="Q17" si="4">IF(F17&lt;=ExpQ1,G17,0)+IF(H17&lt;=ExpQ1,I17,0)+IF(J17&lt;=ExpQ1,K17,0)+IF(L17&lt;=ExpQ1,M17,0)+IF(N17&lt;=ExpQ1,O17,0)</f>
        <v>0</v>
      </c>
      <c r="R17" s="152">
        <f t="shared" ref="R17" si="5">IF(F17&lt;=ExpH1,G17,0)+IF(H17&lt;=ExpH1,I17,0)+IF(J17&lt;=ExpH1,K17,0)+IF(L17&lt;=ExpH1,M17,0)+IF(N17&lt;=ExpH1,O17,0)</f>
        <v>0</v>
      </c>
      <c r="S17" s="152">
        <f t="shared" ref="S17" si="6">IF(F17&lt;=ExpQ3,G17,0)+IF(H17&lt;=ExpQ3,I17,0)+IF(J17&lt;=ExpQ3,K17,0)+IF(L17&lt;=ExpQ3,M17,0)+IF(N17&lt;=ExpQ3,O17,0)</f>
        <v>0</v>
      </c>
      <c r="T17" s="18">
        <f t="shared" si="2"/>
        <v>0.68</v>
      </c>
    </row>
    <row r="18" spans="2:20" x14ac:dyDescent="0.25">
      <c r="B18" s="117" t="s">
        <v>22</v>
      </c>
      <c r="C18" s="136" t="s">
        <v>23</v>
      </c>
      <c r="D18" s="14" t="s">
        <v>24</v>
      </c>
      <c r="E18" s="14" t="s">
        <v>16</v>
      </c>
      <c r="F18" s="15"/>
      <c r="G18" s="16"/>
      <c r="H18" s="15"/>
      <c r="I18" s="16"/>
      <c r="J18" s="15"/>
      <c r="K18" s="16"/>
      <c r="L18" s="15"/>
      <c r="M18" s="63"/>
      <c r="N18" s="17"/>
      <c r="O18" s="16"/>
      <c r="P18" s="16"/>
      <c r="Q18" s="152">
        <f t="shared" si="0"/>
        <v>0</v>
      </c>
      <c r="R18" s="152">
        <f t="shared" si="3"/>
        <v>0</v>
      </c>
      <c r="S18" s="152">
        <f t="shared" si="1"/>
        <v>0</v>
      </c>
      <c r="T18" s="18">
        <f t="shared" si="2"/>
        <v>0</v>
      </c>
    </row>
    <row r="19" spans="2:20" x14ac:dyDescent="0.25">
      <c r="B19" s="117" t="s">
        <v>25</v>
      </c>
      <c r="C19" s="136" t="s">
        <v>26</v>
      </c>
      <c r="D19" s="14" t="s">
        <v>27</v>
      </c>
      <c r="E19" s="14" t="s">
        <v>16</v>
      </c>
      <c r="F19" s="15">
        <v>44343</v>
      </c>
      <c r="G19" s="16">
        <v>2.35</v>
      </c>
      <c r="H19" s="15"/>
      <c r="I19" s="16"/>
      <c r="J19" s="15"/>
      <c r="K19" s="16"/>
      <c r="L19" s="15"/>
      <c r="M19" s="63"/>
      <c r="N19" s="17"/>
      <c r="O19" s="16"/>
      <c r="P19" s="16"/>
      <c r="Q19" s="152">
        <f t="shared" si="0"/>
        <v>0</v>
      </c>
      <c r="R19" s="152">
        <f t="shared" si="3"/>
        <v>2.35</v>
      </c>
      <c r="S19" s="152">
        <f t="shared" si="1"/>
        <v>2.35</v>
      </c>
      <c r="T19" s="18">
        <f t="shared" si="2"/>
        <v>2.35</v>
      </c>
    </row>
    <row r="20" spans="2:20" x14ac:dyDescent="0.25">
      <c r="B20" s="117" t="s">
        <v>28</v>
      </c>
      <c r="C20" s="136" t="s">
        <v>29</v>
      </c>
      <c r="D20" s="14" t="s">
        <v>15</v>
      </c>
      <c r="E20" s="14" t="s">
        <v>21</v>
      </c>
      <c r="F20" s="15">
        <v>44300</v>
      </c>
      <c r="G20" s="16">
        <v>2.5</v>
      </c>
      <c r="H20" s="15"/>
      <c r="I20" s="16"/>
      <c r="J20" s="15"/>
      <c r="K20" s="16"/>
      <c r="L20" s="15"/>
      <c r="M20" s="63"/>
      <c r="N20" s="17"/>
      <c r="O20" s="16"/>
      <c r="P20" s="16"/>
      <c r="Q20" s="152">
        <f t="shared" si="0"/>
        <v>0</v>
      </c>
      <c r="R20" s="152">
        <f t="shared" si="3"/>
        <v>2.5</v>
      </c>
      <c r="S20" s="152">
        <f t="shared" si="1"/>
        <v>2.5</v>
      </c>
      <c r="T20" s="18">
        <f t="shared" si="2"/>
        <v>2.5</v>
      </c>
    </row>
    <row r="21" spans="2:20" x14ac:dyDescent="0.25">
      <c r="B21" s="117" t="s">
        <v>30</v>
      </c>
      <c r="C21" s="136" t="s">
        <v>31</v>
      </c>
      <c r="D21" s="14" t="s">
        <v>15</v>
      </c>
      <c r="E21" s="14" t="s">
        <v>16</v>
      </c>
      <c r="F21" s="15">
        <v>44329</v>
      </c>
      <c r="G21" s="16">
        <v>3</v>
      </c>
      <c r="H21" s="15"/>
      <c r="I21" s="16"/>
      <c r="J21" s="15"/>
      <c r="K21" s="16"/>
      <c r="L21" s="15"/>
      <c r="M21" s="63"/>
      <c r="N21" s="17"/>
      <c r="O21" s="16"/>
      <c r="P21" s="16"/>
      <c r="Q21" s="152">
        <f t="shared" si="0"/>
        <v>0</v>
      </c>
      <c r="R21" s="152">
        <f t="shared" si="3"/>
        <v>3</v>
      </c>
      <c r="S21" s="152">
        <f t="shared" si="1"/>
        <v>3</v>
      </c>
      <c r="T21" s="18">
        <f t="shared" si="2"/>
        <v>3</v>
      </c>
    </row>
    <row r="22" spans="2:20" x14ac:dyDescent="0.25">
      <c r="B22" s="117" t="s">
        <v>32</v>
      </c>
      <c r="C22" s="136" t="s">
        <v>33</v>
      </c>
      <c r="D22" s="14" t="s">
        <v>15</v>
      </c>
      <c r="E22" s="14" t="s">
        <v>16</v>
      </c>
      <c r="F22" s="15">
        <v>44354</v>
      </c>
      <c r="G22" s="16">
        <v>0.06</v>
      </c>
      <c r="H22" s="15">
        <v>44428</v>
      </c>
      <c r="I22" s="16">
        <v>0.08</v>
      </c>
      <c r="J22" s="15"/>
      <c r="K22" s="16"/>
      <c r="L22" s="15"/>
      <c r="M22" s="63"/>
      <c r="N22" s="17"/>
      <c r="O22" s="16"/>
      <c r="P22" s="16"/>
      <c r="Q22" s="152">
        <f t="shared" si="0"/>
        <v>0</v>
      </c>
      <c r="R22" s="152">
        <f t="shared" si="3"/>
        <v>0.06</v>
      </c>
      <c r="S22" s="152">
        <f t="shared" si="1"/>
        <v>0.14000000000000001</v>
      </c>
      <c r="T22" s="18">
        <f t="shared" si="2"/>
        <v>0.14000000000000001</v>
      </c>
    </row>
    <row r="23" spans="2:20" x14ac:dyDescent="0.25">
      <c r="B23" s="117" t="s">
        <v>630</v>
      </c>
      <c r="C23" s="136" t="s">
        <v>625</v>
      </c>
      <c r="D23" s="14" t="s">
        <v>15</v>
      </c>
      <c r="E23" s="14" t="s">
        <v>16</v>
      </c>
      <c r="F23" s="15"/>
      <c r="G23" s="16"/>
      <c r="H23" s="15"/>
      <c r="I23" s="16"/>
      <c r="J23" s="15"/>
      <c r="K23" s="16"/>
      <c r="L23" s="15"/>
      <c r="M23" s="63"/>
      <c r="N23" s="17"/>
      <c r="O23" s="16"/>
      <c r="P23" s="16"/>
      <c r="Q23" s="152">
        <f t="shared" si="0"/>
        <v>0</v>
      </c>
      <c r="R23" s="152">
        <f t="shared" si="3"/>
        <v>0</v>
      </c>
      <c r="S23" s="152">
        <f t="shared" si="1"/>
        <v>0</v>
      </c>
      <c r="T23" s="18">
        <f t="shared" si="2"/>
        <v>0</v>
      </c>
    </row>
    <row r="24" spans="2:20" x14ac:dyDescent="0.25">
      <c r="B24" s="117" t="s">
        <v>34</v>
      </c>
      <c r="C24" s="136" t="s">
        <v>35</v>
      </c>
      <c r="D24" s="14" t="s">
        <v>27</v>
      </c>
      <c r="E24" s="14" t="s">
        <v>16</v>
      </c>
      <c r="F24" s="15">
        <v>44349</v>
      </c>
      <c r="G24" s="16">
        <v>2.65</v>
      </c>
      <c r="H24" s="15"/>
      <c r="I24" s="16"/>
      <c r="J24" s="15"/>
      <c r="K24" s="16"/>
      <c r="L24" s="15"/>
      <c r="M24" s="63"/>
      <c r="N24" s="17"/>
      <c r="O24" s="16"/>
      <c r="P24" s="16"/>
      <c r="Q24" s="152">
        <f t="shared" si="0"/>
        <v>0</v>
      </c>
      <c r="R24" s="152">
        <f t="shared" si="3"/>
        <v>2.65</v>
      </c>
      <c r="S24" s="152">
        <f t="shared" si="1"/>
        <v>2.65</v>
      </c>
      <c r="T24" s="18">
        <f t="shared" si="2"/>
        <v>2.65</v>
      </c>
    </row>
    <row r="25" spans="2:20" x14ac:dyDescent="0.25">
      <c r="B25" s="117" t="s">
        <v>36</v>
      </c>
      <c r="C25" s="136" t="s">
        <v>37</v>
      </c>
      <c r="D25" s="14" t="s">
        <v>15</v>
      </c>
      <c r="E25" s="14" t="s">
        <v>16</v>
      </c>
      <c r="F25" s="15">
        <v>44302</v>
      </c>
      <c r="G25" s="16">
        <v>0.4</v>
      </c>
      <c r="H25" s="15">
        <v>44421</v>
      </c>
      <c r="I25" s="16">
        <v>0.43</v>
      </c>
      <c r="J25" s="15"/>
      <c r="K25" s="16"/>
      <c r="L25" s="15"/>
      <c r="M25" s="63"/>
      <c r="N25" s="17"/>
      <c r="O25" s="16"/>
      <c r="P25" s="16"/>
      <c r="Q25" s="152">
        <f t="shared" si="0"/>
        <v>0</v>
      </c>
      <c r="R25" s="152">
        <f t="shared" si="3"/>
        <v>0.4</v>
      </c>
      <c r="S25" s="152">
        <f t="shared" si="1"/>
        <v>0.83000000000000007</v>
      </c>
      <c r="T25" s="18">
        <f t="shared" si="2"/>
        <v>0.83000000000000007</v>
      </c>
    </row>
    <row r="26" spans="2:20" x14ac:dyDescent="0.25">
      <c r="B26" s="117" t="s">
        <v>41</v>
      </c>
      <c r="C26" s="136" t="s">
        <v>42</v>
      </c>
      <c r="D26" s="14" t="s">
        <v>24</v>
      </c>
      <c r="E26" s="14" t="s">
        <v>16</v>
      </c>
      <c r="F26" s="15">
        <v>44333</v>
      </c>
      <c r="G26" s="16">
        <v>2.75</v>
      </c>
      <c r="H26" s="15"/>
      <c r="I26" s="16"/>
      <c r="J26" s="15"/>
      <c r="K26" s="16"/>
      <c r="L26" s="15"/>
      <c r="M26" s="63"/>
      <c r="N26" s="17"/>
      <c r="O26" s="16"/>
      <c r="P26" s="16"/>
      <c r="Q26" s="152">
        <f t="shared" si="0"/>
        <v>0</v>
      </c>
      <c r="R26" s="152">
        <f t="shared" si="3"/>
        <v>2.75</v>
      </c>
      <c r="S26" s="152">
        <f t="shared" si="1"/>
        <v>2.75</v>
      </c>
      <c r="T26" s="18">
        <f t="shared" si="2"/>
        <v>2.75</v>
      </c>
    </row>
    <row r="27" spans="2:20" x14ac:dyDescent="0.25">
      <c r="B27" s="117" t="s">
        <v>43</v>
      </c>
      <c r="C27" s="136" t="s">
        <v>44</v>
      </c>
      <c r="D27" s="14" t="s">
        <v>24</v>
      </c>
      <c r="E27" s="14" t="s">
        <v>16</v>
      </c>
      <c r="F27" s="15"/>
      <c r="G27" s="16"/>
      <c r="H27" s="15"/>
      <c r="I27" s="16"/>
      <c r="J27" s="15"/>
      <c r="K27" s="16"/>
      <c r="L27" s="15"/>
      <c r="M27" s="63"/>
      <c r="N27" s="17"/>
      <c r="O27" s="16"/>
      <c r="P27" s="16"/>
      <c r="Q27" s="152">
        <f t="shared" si="0"/>
        <v>0</v>
      </c>
      <c r="R27" s="152">
        <f t="shared" si="3"/>
        <v>0</v>
      </c>
      <c r="S27" s="152">
        <f t="shared" si="1"/>
        <v>0</v>
      </c>
      <c r="T27" s="18">
        <f t="shared" si="2"/>
        <v>0</v>
      </c>
    </row>
    <row r="28" spans="2:20" x14ac:dyDescent="0.25">
      <c r="B28" s="117" t="s">
        <v>45</v>
      </c>
      <c r="C28" s="136" t="s">
        <v>46</v>
      </c>
      <c r="D28" s="14" t="s">
        <v>15</v>
      </c>
      <c r="E28" s="14" t="s">
        <v>16</v>
      </c>
      <c r="F28" s="15">
        <v>44312</v>
      </c>
      <c r="G28" s="16">
        <v>1.52</v>
      </c>
      <c r="H28" s="15">
        <v>44491</v>
      </c>
      <c r="I28" s="16">
        <v>0.44</v>
      </c>
      <c r="J28" s="15"/>
      <c r="K28" s="16"/>
      <c r="L28" s="15"/>
      <c r="M28" s="63"/>
      <c r="N28" s="17"/>
      <c r="O28" s="16"/>
      <c r="P28" s="16"/>
      <c r="Q28" s="152">
        <f t="shared" si="0"/>
        <v>0</v>
      </c>
      <c r="R28" s="152">
        <f t="shared" si="3"/>
        <v>1.52</v>
      </c>
      <c r="S28" s="152">
        <f t="shared" si="1"/>
        <v>1.52</v>
      </c>
      <c r="T28" s="18">
        <f t="shared" si="2"/>
        <v>1.96</v>
      </c>
    </row>
    <row r="29" spans="2:20" x14ac:dyDescent="0.25">
      <c r="B29" s="117" t="s">
        <v>47</v>
      </c>
      <c r="C29" s="136" t="s">
        <v>48</v>
      </c>
      <c r="D29" s="14" t="s">
        <v>15</v>
      </c>
      <c r="E29" s="14" t="s">
        <v>16</v>
      </c>
      <c r="F29" s="15">
        <v>44322</v>
      </c>
      <c r="G29" s="16">
        <v>9.6</v>
      </c>
      <c r="H29" s="15"/>
      <c r="I29" s="16"/>
      <c r="J29" s="15"/>
      <c r="K29" s="16"/>
      <c r="L29" s="15"/>
      <c r="M29" s="16"/>
      <c r="N29" s="17"/>
      <c r="O29" s="16"/>
      <c r="P29" s="16"/>
      <c r="Q29" s="152">
        <f t="shared" si="0"/>
        <v>0</v>
      </c>
      <c r="R29" s="152">
        <f t="shared" si="3"/>
        <v>9.6</v>
      </c>
      <c r="S29" s="152">
        <f t="shared" si="1"/>
        <v>9.6</v>
      </c>
      <c r="T29" s="18">
        <f t="shared" si="2"/>
        <v>9.6</v>
      </c>
    </row>
    <row r="30" spans="2:20" x14ac:dyDescent="0.25">
      <c r="B30" s="117" t="s">
        <v>49</v>
      </c>
      <c r="C30" s="136" t="s">
        <v>50</v>
      </c>
      <c r="D30" s="14" t="s">
        <v>24</v>
      </c>
      <c r="E30" s="14" t="s">
        <v>16</v>
      </c>
      <c r="F30" s="15">
        <v>44410</v>
      </c>
      <c r="G30" s="16">
        <v>0.25</v>
      </c>
      <c r="H30" s="15"/>
      <c r="I30" s="16"/>
      <c r="J30" s="15"/>
      <c r="K30" s="16"/>
      <c r="L30" s="15"/>
      <c r="M30" s="16"/>
      <c r="N30" s="17"/>
      <c r="O30" s="16"/>
      <c r="P30" s="16"/>
      <c r="Q30" s="152">
        <f t="shared" si="0"/>
        <v>0</v>
      </c>
      <c r="R30" s="152">
        <f t="shared" si="3"/>
        <v>0</v>
      </c>
      <c r="S30" s="152">
        <f t="shared" si="1"/>
        <v>0.25</v>
      </c>
      <c r="T30" s="18">
        <f t="shared" si="2"/>
        <v>0.25</v>
      </c>
    </row>
    <row r="31" spans="2:20" x14ac:dyDescent="0.25">
      <c r="B31" s="117" t="s">
        <v>51</v>
      </c>
      <c r="C31" s="136" t="s">
        <v>52</v>
      </c>
      <c r="D31" s="14" t="s">
        <v>15</v>
      </c>
      <c r="E31" s="14" t="s">
        <v>16</v>
      </c>
      <c r="F31" s="15"/>
      <c r="G31" s="16"/>
      <c r="H31" s="15"/>
      <c r="I31" s="16"/>
      <c r="J31" s="15"/>
      <c r="K31" s="16"/>
      <c r="L31" s="15"/>
      <c r="M31" s="16"/>
      <c r="N31" s="17"/>
      <c r="O31" s="16"/>
      <c r="P31" s="16"/>
      <c r="Q31" s="152">
        <f t="shared" si="0"/>
        <v>0</v>
      </c>
      <c r="R31" s="152">
        <f t="shared" si="3"/>
        <v>0</v>
      </c>
      <c r="S31" s="152">
        <f t="shared" si="1"/>
        <v>0</v>
      </c>
      <c r="T31" s="18">
        <f t="shared" si="2"/>
        <v>0</v>
      </c>
    </row>
    <row r="32" spans="2:20" x14ac:dyDescent="0.25">
      <c r="B32" s="117" t="s">
        <v>57</v>
      </c>
      <c r="C32" s="136" t="s">
        <v>58</v>
      </c>
      <c r="D32" s="14" t="s">
        <v>15</v>
      </c>
      <c r="E32" s="14" t="s">
        <v>56</v>
      </c>
      <c r="F32" s="15" t="s">
        <v>767</v>
      </c>
      <c r="G32" s="16"/>
      <c r="H32" s="15"/>
      <c r="I32" s="16"/>
      <c r="J32" s="15"/>
      <c r="K32" s="16"/>
      <c r="L32" s="15"/>
      <c r="M32" s="63"/>
      <c r="N32" s="17"/>
      <c r="O32" s="16"/>
      <c r="P32" s="16"/>
      <c r="Q32" s="152">
        <f t="shared" si="0"/>
        <v>0</v>
      </c>
      <c r="R32" s="152">
        <f t="shared" si="3"/>
        <v>0</v>
      </c>
      <c r="S32" s="152">
        <f t="shared" si="1"/>
        <v>0</v>
      </c>
      <c r="T32" s="18">
        <f t="shared" si="2"/>
        <v>0</v>
      </c>
    </row>
    <row r="33" spans="1:21" x14ac:dyDescent="0.25">
      <c r="B33" s="117" t="s">
        <v>59</v>
      </c>
      <c r="C33" s="136" t="s">
        <v>60</v>
      </c>
      <c r="D33" s="14" t="s">
        <v>27</v>
      </c>
      <c r="E33" s="14" t="s">
        <v>16</v>
      </c>
      <c r="F33" s="15">
        <v>44320</v>
      </c>
      <c r="G33" s="16">
        <v>0.5</v>
      </c>
      <c r="H33" s="15"/>
      <c r="I33" s="16"/>
      <c r="J33" s="15"/>
      <c r="K33" s="16"/>
      <c r="L33" s="15"/>
      <c r="M33" s="63"/>
      <c r="N33" s="17"/>
      <c r="O33" s="16"/>
      <c r="P33" s="16"/>
      <c r="Q33" s="152">
        <f t="shared" si="0"/>
        <v>0</v>
      </c>
      <c r="R33" s="152">
        <f t="shared" si="3"/>
        <v>0.5</v>
      </c>
      <c r="S33" s="152">
        <f t="shared" si="1"/>
        <v>0.5</v>
      </c>
      <c r="T33" s="18">
        <f t="shared" si="2"/>
        <v>0.5</v>
      </c>
    </row>
    <row r="34" spans="1:21" x14ac:dyDescent="0.25">
      <c r="B34" s="117" t="s">
        <v>63</v>
      </c>
      <c r="C34" s="136" t="s">
        <v>64</v>
      </c>
      <c r="D34" s="14" t="s">
        <v>15</v>
      </c>
      <c r="E34" s="14" t="s">
        <v>16</v>
      </c>
      <c r="F34" s="15">
        <v>44357</v>
      </c>
      <c r="G34" s="16">
        <f>0.3/1.2201</f>
        <v>0.24588148512417016</v>
      </c>
      <c r="H34" s="15"/>
      <c r="I34" s="16"/>
      <c r="J34" s="15"/>
      <c r="K34" s="16"/>
      <c r="L34" s="15"/>
      <c r="M34" s="63"/>
      <c r="N34" s="17"/>
      <c r="O34" s="16"/>
      <c r="P34" s="16"/>
      <c r="Q34" s="152">
        <f t="shared" si="0"/>
        <v>0</v>
      </c>
      <c r="R34" s="152">
        <f t="shared" si="3"/>
        <v>0.24588148512417016</v>
      </c>
      <c r="S34" s="152">
        <f t="shared" si="1"/>
        <v>0.24588148512417016</v>
      </c>
      <c r="T34" s="18">
        <f t="shared" si="2"/>
        <v>0.24588148512417016</v>
      </c>
    </row>
    <row r="35" spans="1:21" x14ac:dyDescent="0.25">
      <c r="B35" s="117" t="s">
        <v>65</v>
      </c>
      <c r="C35" s="136" t="s">
        <v>66</v>
      </c>
      <c r="D35" s="14" t="s">
        <v>15</v>
      </c>
      <c r="E35" s="14" t="s">
        <v>16</v>
      </c>
      <c r="F35" s="15">
        <v>44319</v>
      </c>
      <c r="G35" s="16">
        <v>1.55</v>
      </c>
      <c r="H35" s="15">
        <v>44502</v>
      </c>
      <c r="I35" s="16">
        <v>1.8</v>
      </c>
      <c r="J35" s="15"/>
      <c r="K35" s="16"/>
      <c r="L35" s="15"/>
      <c r="M35" s="63"/>
      <c r="N35" s="17"/>
      <c r="O35" s="16"/>
      <c r="P35" s="16"/>
      <c r="Q35" s="152">
        <f t="shared" si="0"/>
        <v>0</v>
      </c>
      <c r="R35" s="152">
        <f t="shared" si="3"/>
        <v>1.55</v>
      </c>
      <c r="S35" s="152">
        <f t="shared" si="1"/>
        <v>1.55</v>
      </c>
      <c r="T35" s="18">
        <f t="shared" si="2"/>
        <v>3.35</v>
      </c>
    </row>
    <row r="36" spans="1:21" x14ac:dyDescent="0.25">
      <c r="B36" s="117" t="s">
        <v>67</v>
      </c>
      <c r="C36" s="136" t="s">
        <v>68</v>
      </c>
      <c r="D36" s="14" t="s">
        <v>15</v>
      </c>
      <c r="E36" s="14" t="s">
        <v>16</v>
      </c>
      <c r="F36" s="15">
        <v>44340</v>
      </c>
      <c r="G36" s="16">
        <v>1.01</v>
      </c>
      <c r="H36" s="15">
        <v>44487</v>
      </c>
      <c r="I36" s="16">
        <v>0.46</v>
      </c>
      <c r="J36" s="15"/>
      <c r="K36" s="16"/>
      <c r="L36" s="15"/>
      <c r="M36" s="63"/>
      <c r="N36" s="17"/>
      <c r="O36" s="16"/>
      <c r="P36" s="16"/>
      <c r="Q36" s="152">
        <f t="shared" si="0"/>
        <v>0</v>
      </c>
      <c r="R36" s="152">
        <f t="shared" si="3"/>
        <v>1.01</v>
      </c>
      <c r="S36" s="152">
        <f t="shared" si="1"/>
        <v>1.01</v>
      </c>
      <c r="T36" s="18">
        <f t="shared" si="2"/>
        <v>1.47</v>
      </c>
    </row>
    <row r="37" spans="1:21" x14ac:dyDescent="0.25">
      <c r="A37" s="33"/>
      <c r="B37" s="117" t="s">
        <v>782</v>
      </c>
      <c r="C37" s="136" t="s">
        <v>783</v>
      </c>
      <c r="D37" s="14" t="s">
        <v>15</v>
      </c>
      <c r="E37" s="14" t="s">
        <v>16</v>
      </c>
      <c r="F37" s="15">
        <v>44337</v>
      </c>
      <c r="G37" s="16">
        <v>1.28</v>
      </c>
      <c r="H37" s="15">
        <v>44438</v>
      </c>
      <c r="I37" s="16">
        <v>0.82</v>
      </c>
      <c r="J37" s="15"/>
      <c r="K37" s="16"/>
      <c r="L37" s="15"/>
      <c r="M37" s="63"/>
      <c r="N37" s="17"/>
      <c r="O37" s="16"/>
      <c r="P37" s="16"/>
      <c r="Q37" s="152">
        <f t="shared" ref="Q37" si="7">IF(F37&lt;=ExpQ1,G37,0)+IF(H37&lt;=ExpQ1,I37,0)+IF(J37&lt;=ExpQ1,K37,0)+IF(L37&lt;=ExpQ1,M37,0)+IF(N37&lt;=ExpQ1,O37,0)</f>
        <v>0</v>
      </c>
      <c r="R37" s="152">
        <f t="shared" ref="R37" si="8">IF(F37&lt;=ExpH1,G37,0)+IF(H37&lt;=ExpH1,I37,0)+IF(J37&lt;=ExpH1,K37,0)+IF(L37&lt;=ExpH1,M37,0)+IF(N37&lt;=ExpH1,O37,0)</f>
        <v>1.28</v>
      </c>
      <c r="S37" s="152">
        <f t="shared" ref="S37" si="9">IF(F37&lt;=ExpQ3,G37,0)+IF(H37&lt;=ExpQ3,I37,0)+IF(J37&lt;=ExpQ3,K37,0)+IF(L37&lt;=ExpQ3,M37,0)+IF(N37&lt;=ExpQ3,O37,0)</f>
        <v>2.1</v>
      </c>
      <c r="T37" s="18">
        <f t="shared" ref="T37" si="10">G37+I37+K37+M37+O37</f>
        <v>2.1</v>
      </c>
      <c r="U37" s="36"/>
    </row>
    <row r="38" spans="1:21" x14ac:dyDescent="0.25">
      <c r="B38" s="117" t="s">
        <v>69</v>
      </c>
      <c r="C38" s="136" t="s">
        <v>70</v>
      </c>
      <c r="D38" s="14" t="s">
        <v>15</v>
      </c>
      <c r="E38" s="14" t="s">
        <v>56</v>
      </c>
      <c r="F38" s="15">
        <v>44252</v>
      </c>
      <c r="G38" s="16">
        <v>1.9</v>
      </c>
      <c r="H38" s="15">
        <v>44420</v>
      </c>
      <c r="I38" s="16">
        <v>0.9</v>
      </c>
      <c r="J38" s="15"/>
      <c r="K38" s="16"/>
      <c r="L38" s="15"/>
      <c r="M38" s="63"/>
      <c r="N38" s="17"/>
      <c r="O38" s="16"/>
      <c r="P38" s="16"/>
      <c r="Q38" s="152">
        <f t="shared" si="0"/>
        <v>1.9</v>
      </c>
      <c r="R38" s="152">
        <f t="shared" si="3"/>
        <v>1.9</v>
      </c>
      <c r="S38" s="152">
        <f t="shared" si="1"/>
        <v>2.8</v>
      </c>
      <c r="T38" s="18">
        <f t="shared" si="2"/>
        <v>2.8</v>
      </c>
    </row>
    <row r="39" spans="1:21" x14ac:dyDescent="0.25">
      <c r="A39" s="33"/>
      <c r="B39" s="117" t="s">
        <v>73</v>
      </c>
      <c r="C39" s="136" t="s">
        <v>74</v>
      </c>
      <c r="D39" s="14" t="s">
        <v>15</v>
      </c>
      <c r="E39" s="14" t="s">
        <v>16</v>
      </c>
      <c r="F39" s="15"/>
      <c r="G39" s="16"/>
      <c r="H39" s="15"/>
      <c r="I39" s="16"/>
      <c r="J39" s="15"/>
      <c r="K39" s="16"/>
      <c r="L39" s="15"/>
      <c r="M39" s="63"/>
      <c r="N39" s="17"/>
      <c r="O39" s="16"/>
      <c r="P39" s="16"/>
      <c r="Q39" s="152">
        <f t="shared" si="0"/>
        <v>0</v>
      </c>
      <c r="R39" s="152">
        <f t="shared" si="3"/>
        <v>0</v>
      </c>
      <c r="S39" s="152">
        <f t="shared" si="1"/>
        <v>0</v>
      </c>
      <c r="T39" s="18">
        <f t="shared" si="2"/>
        <v>0</v>
      </c>
      <c r="U39" s="36"/>
    </row>
    <row r="40" spans="1:21" x14ac:dyDescent="0.25">
      <c r="A40" s="33"/>
      <c r="B40" s="117" t="s">
        <v>694</v>
      </c>
      <c r="C40" s="136" t="s">
        <v>695</v>
      </c>
      <c r="D40" s="14" t="s">
        <v>24</v>
      </c>
      <c r="E40" s="14" t="s">
        <v>16</v>
      </c>
      <c r="F40" s="15">
        <v>44330</v>
      </c>
      <c r="G40" s="16">
        <v>0.9</v>
      </c>
      <c r="H40" s="15"/>
      <c r="I40" s="16"/>
      <c r="J40" s="15"/>
      <c r="K40" s="16"/>
      <c r="L40" s="15"/>
      <c r="M40" s="63"/>
      <c r="N40" s="17"/>
      <c r="O40" s="16"/>
      <c r="P40" s="16"/>
      <c r="Q40" s="152">
        <f t="shared" si="0"/>
        <v>0</v>
      </c>
      <c r="R40" s="152">
        <f t="shared" si="3"/>
        <v>0.9</v>
      </c>
      <c r="S40" s="152">
        <f t="shared" si="1"/>
        <v>0.9</v>
      </c>
      <c r="T40" s="18">
        <f t="shared" si="2"/>
        <v>0.9</v>
      </c>
      <c r="U40" s="36"/>
    </row>
    <row r="41" spans="1:21" x14ac:dyDescent="0.25">
      <c r="A41" s="33"/>
      <c r="B41" s="117" t="s">
        <v>75</v>
      </c>
      <c r="C41" s="136" t="s">
        <v>76</v>
      </c>
      <c r="D41" s="14" t="s">
        <v>15</v>
      </c>
      <c r="E41" s="14" t="s">
        <v>761</v>
      </c>
      <c r="F41" s="15">
        <v>44294</v>
      </c>
      <c r="G41" s="16">
        <v>14</v>
      </c>
      <c r="H41" s="15">
        <v>44434</v>
      </c>
      <c r="I41" s="16">
        <v>7.35</v>
      </c>
      <c r="J41" s="15"/>
      <c r="K41" s="16"/>
      <c r="L41" s="15"/>
      <c r="M41" s="63"/>
      <c r="N41" s="17"/>
      <c r="O41" s="16"/>
      <c r="P41" s="16"/>
      <c r="Q41" s="152">
        <f t="shared" si="0"/>
        <v>0</v>
      </c>
      <c r="R41" s="152">
        <f t="shared" si="3"/>
        <v>14</v>
      </c>
      <c r="S41" s="152">
        <f t="shared" si="1"/>
        <v>21.35</v>
      </c>
      <c r="T41" s="18">
        <f t="shared" si="2"/>
        <v>21.35</v>
      </c>
      <c r="U41" s="36"/>
    </row>
    <row r="42" spans="1:21" x14ac:dyDescent="0.25">
      <c r="A42" s="33"/>
      <c r="B42" s="117" t="s">
        <v>78</v>
      </c>
      <c r="C42" s="136" t="s">
        <v>79</v>
      </c>
      <c r="D42" s="14" t="s">
        <v>24</v>
      </c>
      <c r="E42" s="14" t="s">
        <v>16</v>
      </c>
      <c r="F42" s="15">
        <v>44323</v>
      </c>
      <c r="G42" s="16">
        <v>1.43</v>
      </c>
      <c r="H42" s="15"/>
      <c r="I42" s="16"/>
      <c r="J42" s="15"/>
      <c r="K42" s="16"/>
      <c r="L42" s="15"/>
      <c r="M42" s="63"/>
      <c r="N42" s="17"/>
      <c r="O42" s="16"/>
      <c r="P42" s="16"/>
      <c r="Q42" s="152">
        <f t="shared" si="0"/>
        <v>0</v>
      </c>
      <c r="R42" s="152">
        <f t="shared" si="3"/>
        <v>1.43</v>
      </c>
      <c r="S42" s="152">
        <f t="shared" si="1"/>
        <v>1.43</v>
      </c>
      <c r="T42" s="18">
        <f t="shared" si="2"/>
        <v>1.43</v>
      </c>
      <c r="U42" s="36"/>
    </row>
    <row r="43" spans="1:21" x14ac:dyDescent="0.25">
      <c r="A43" s="33"/>
      <c r="B43" s="117" t="s">
        <v>80</v>
      </c>
      <c r="C43" s="136" t="s">
        <v>81</v>
      </c>
      <c r="D43" s="14" t="s">
        <v>15</v>
      </c>
      <c r="E43" s="14" t="s">
        <v>16</v>
      </c>
      <c r="F43" s="15">
        <v>44340</v>
      </c>
      <c r="G43" s="16">
        <v>1</v>
      </c>
      <c r="H43" s="15"/>
      <c r="I43" s="16"/>
      <c r="J43" s="15"/>
      <c r="K43" s="16"/>
      <c r="L43" s="15"/>
      <c r="M43" s="63"/>
      <c r="N43" s="17"/>
      <c r="O43" s="16"/>
      <c r="P43" s="16"/>
      <c r="Q43" s="152">
        <f t="shared" si="0"/>
        <v>0</v>
      </c>
      <c r="R43" s="152">
        <f t="shared" si="3"/>
        <v>1</v>
      </c>
      <c r="S43" s="152">
        <f t="shared" si="1"/>
        <v>1</v>
      </c>
      <c r="T43" s="18">
        <f t="shared" si="2"/>
        <v>1</v>
      </c>
      <c r="U43" s="36"/>
    </row>
    <row r="44" spans="1:21" x14ac:dyDescent="0.25">
      <c r="A44" s="33"/>
      <c r="B44" s="117" t="s">
        <v>82</v>
      </c>
      <c r="C44" s="136" t="s">
        <v>83</v>
      </c>
      <c r="D44" s="14" t="s">
        <v>15</v>
      </c>
      <c r="E44" s="14" t="s">
        <v>761</v>
      </c>
      <c r="F44" s="15">
        <v>44308</v>
      </c>
      <c r="G44" s="16">
        <v>14.3</v>
      </c>
      <c r="H44" s="15">
        <v>44490</v>
      </c>
      <c r="I44" s="16">
        <v>9.9</v>
      </c>
      <c r="J44" s="15"/>
      <c r="K44" s="16"/>
      <c r="L44" s="15"/>
      <c r="M44" s="63"/>
      <c r="N44" s="17"/>
      <c r="O44" s="16"/>
      <c r="P44" s="16"/>
      <c r="Q44" s="152">
        <f t="shared" si="0"/>
        <v>0</v>
      </c>
      <c r="R44" s="152">
        <f t="shared" si="3"/>
        <v>14.3</v>
      </c>
      <c r="S44" s="152">
        <f t="shared" si="1"/>
        <v>14.3</v>
      </c>
      <c r="T44" s="18">
        <f t="shared" si="2"/>
        <v>24.200000000000003</v>
      </c>
      <c r="U44" s="36"/>
    </row>
    <row r="45" spans="1:21" x14ac:dyDescent="0.25">
      <c r="B45" s="117" t="s">
        <v>84</v>
      </c>
      <c r="C45" s="136" t="s">
        <v>85</v>
      </c>
      <c r="D45" s="14" t="s">
        <v>15</v>
      </c>
      <c r="E45" s="14" t="s">
        <v>16</v>
      </c>
      <c r="F45" s="15">
        <v>44340</v>
      </c>
      <c r="G45" s="16">
        <v>2.6669999999999999E-2</v>
      </c>
      <c r="H45" s="15">
        <v>44487</v>
      </c>
      <c r="I45" s="16">
        <v>0.75333000000000006</v>
      </c>
      <c r="J45" s="15">
        <v>44522</v>
      </c>
      <c r="K45" s="16">
        <v>0.23</v>
      </c>
      <c r="L45" s="15"/>
      <c r="M45" s="63"/>
      <c r="N45" s="17"/>
      <c r="O45" s="16"/>
      <c r="P45" s="16"/>
      <c r="Q45" s="152">
        <f t="shared" si="0"/>
        <v>0</v>
      </c>
      <c r="R45" s="152">
        <f t="shared" si="3"/>
        <v>2.6669999999999999E-2</v>
      </c>
      <c r="S45" s="152">
        <f t="shared" si="1"/>
        <v>2.6669999999999999E-2</v>
      </c>
      <c r="T45" s="18">
        <f t="shared" si="2"/>
        <v>1.01</v>
      </c>
    </row>
    <row r="46" spans="1:21" x14ac:dyDescent="0.25">
      <c r="B46" s="117" t="s">
        <v>86</v>
      </c>
      <c r="C46" s="136" t="s">
        <v>87</v>
      </c>
      <c r="D46" s="14" t="s">
        <v>15</v>
      </c>
      <c r="E46" s="14" t="s">
        <v>16</v>
      </c>
      <c r="F46" s="15">
        <v>44313</v>
      </c>
      <c r="G46" s="16">
        <v>5.8999999999999997E-2</v>
      </c>
      <c r="H46" s="15">
        <v>41190</v>
      </c>
      <c r="I46" s="16">
        <v>0.08</v>
      </c>
      <c r="J46" s="15"/>
      <c r="K46" s="16"/>
      <c r="L46" s="15"/>
      <c r="M46" s="63"/>
      <c r="N46" s="17"/>
      <c r="O46" s="16"/>
      <c r="P46" s="16"/>
      <c r="Q46" s="152">
        <f t="shared" si="0"/>
        <v>0.08</v>
      </c>
      <c r="R46" s="152">
        <f t="shared" si="3"/>
        <v>0.13900000000000001</v>
      </c>
      <c r="S46" s="152">
        <f t="shared" si="1"/>
        <v>0.13900000000000001</v>
      </c>
      <c r="T46" s="18">
        <f t="shared" si="2"/>
        <v>0.13900000000000001</v>
      </c>
    </row>
    <row r="47" spans="1:21" x14ac:dyDescent="0.25">
      <c r="B47" s="117" t="s">
        <v>88</v>
      </c>
      <c r="C47" s="136" t="s">
        <v>89</v>
      </c>
      <c r="D47" s="14" t="s">
        <v>15</v>
      </c>
      <c r="E47" s="14" t="s">
        <v>16</v>
      </c>
      <c r="F47" s="15">
        <v>44305</v>
      </c>
      <c r="G47" s="16">
        <v>0.06</v>
      </c>
      <c r="H47" s="15"/>
      <c r="I47" s="16"/>
      <c r="J47" s="15"/>
      <c r="K47" s="16"/>
      <c r="L47" s="15"/>
      <c r="M47" s="63"/>
      <c r="N47" s="17"/>
      <c r="O47" s="16"/>
      <c r="P47" s="16"/>
      <c r="Q47" s="152">
        <f t="shared" si="0"/>
        <v>0</v>
      </c>
      <c r="R47" s="152">
        <f t="shared" si="3"/>
        <v>0.06</v>
      </c>
      <c r="S47" s="152">
        <f t="shared" si="1"/>
        <v>0.06</v>
      </c>
      <c r="T47" s="18">
        <f t="shared" si="2"/>
        <v>0.06</v>
      </c>
    </row>
    <row r="48" spans="1:21" x14ac:dyDescent="0.25">
      <c r="B48" s="117" t="s">
        <v>814</v>
      </c>
      <c r="C48" s="136" t="s">
        <v>815</v>
      </c>
      <c r="D48" s="14" t="s">
        <v>15</v>
      </c>
      <c r="E48" s="14" t="s">
        <v>16</v>
      </c>
      <c r="F48" s="15"/>
      <c r="G48" s="16"/>
      <c r="H48" s="15"/>
      <c r="I48" s="16"/>
      <c r="J48" s="15"/>
      <c r="K48" s="16"/>
      <c r="L48" s="15"/>
      <c r="M48" s="63"/>
      <c r="N48" s="17"/>
      <c r="O48" s="16"/>
      <c r="P48" s="16"/>
      <c r="Q48" s="152">
        <f t="shared" ref="Q48" si="11">IF(F48&lt;=ExpQ1,G48,0)+IF(H48&lt;=ExpQ1,I48,0)+IF(J48&lt;=ExpQ1,K48,0)+IF(L48&lt;=ExpQ1,M48,0)+IF(N48&lt;=ExpQ1,O48,0)</f>
        <v>0</v>
      </c>
      <c r="R48" s="152">
        <f t="shared" ref="R48" si="12">IF(F48&lt;=ExpH1,G48,0)+IF(H48&lt;=ExpH1,I48,0)+IF(J48&lt;=ExpH1,K48,0)+IF(L48&lt;=ExpH1,M48,0)+IF(N48&lt;=ExpH1,O48,0)</f>
        <v>0</v>
      </c>
      <c r="S48" s="152">
        <f t="shared" ref="S48" si="13">IF(F48&lt;=ExpQ3,G48,0)+IF(H48&lt;=ExpQ3,I48,0)+IF(J48&lt;=ExpQ3,K48,0)+IF(L48&lt;=ExpQ3,M48,0)+IF(N48&lt;=ExpQ3,O48,0)</f>
        <v>0</v>
      </c>
      <c r="T48" s="18">
        <f t="shared" ref="T48" si="14">G48+I48+K48+M48+O48</f>
        <v>0</v>
      </c>
    </row>
    <row r="49" spans="2:20" x14ac:dyDescent="0.25">
      <c r="B49" s="117" t="s">
        <v>90</v>
      </c>
      <c r="C49" s="136" t="s">
        <v>91</v>
      </c>
      <c r="D49" s="14" t="s">
        <v>15</v>
      </c>
      <c r="E49" s="14" t="s">
        <v>16</v>
      </c>
      <c r="F49" s="15">
        <v>44316</v>
      </c>
      <c r="G49" s="16">
        <v>2.75E-2</v>
      </c>
      <c r="H49" s="15">
        <v>44498</v>
      </c>
      <c r="I49" s="16">
        <v>4.8500000000000001E-2</v>
      </c>
      <c r="J49" s="15"/>
      <c r="K49" s="16"/>
      <c r="L49" s="15"/>
      <c r="M49" s="63"/>
      <c r="N49" s="17"/>
      <c r="O49" s="16"/>
      <c r="P49" s="16"/>
      <c r="Q49" s="152">
        <f t="shared" si="0"/>
        <v>0</v>
      </c>
      <c r="R49" s="152">
        <f t="shared" si="3"/>
        <v>2.75E-2</v>
      </c>
      <c r="S49" s="152">
        <f t="shared" si="1"/>
        <v>2.75E-2</v>
      </c>
      <c r="T49" s="18">
        <f t="shared" si="2"/>
        <v>7.5999999999999998E-2</v>
      </c>
    </row>
    <row r="50" spans="2:20" x14ac:dyDescent="0.25">
      <c r="B50" s="117" t="s">
        <v>812</v>
      </c>
      <c r="C50" s="136" t="s">
        <v>813</v>
      </c>
      <c r="D50" s="14" t="s">
        <v>15</v>
      </c>
      <c r="E50" s="14" t="s">
        <v>16</v>
      </c>
      <c r="F50" s="15"/>
      <c r="G50" s="16"/>
      <c r="H50" s="15"/>
      <c r="I50" s="16"/>
      <c r="J50" s="15"/>
      <c r="K50" s="16"/>
      <c r="L50" s="15"/>
      <c r="M50" s="63"/>
      <c r="N50" s="17"/>
      <c r="O50" s="16"/>
      <c r="P50" s="16"/>
      <c r="Q50" s="152">
        <f t="shared" ref="Q50" si="15">IF(F50&lt;=ExpQ1,G50,0)+IF(H50&lt;=ExpQ1,I50,0)+IF(J50&lt;=ExpQ1,K50,0)+IF(L50&lt;=ExpQ1,M50,0)+IF(N50&lt;=ExpQ1,O50,0)</f>
        <v>0</v>
      </c>
      <c r="R50" s="152">
        <f t="shared" ref="R50" si="16">IF(F50&lt;=ExpH1,G50,0)+IF(H50&lt;=ExpH1,I50,0)+IF(J50&lt;=ExpH1,K50,0)+IF(L50&lt;=ExpH1,M50,0)+IF(N50&lt;=ExpH1,O50,0)</f>
        <v>0</v>
      </c>
      <c r="S50" s="152">
        <f t="shared" ref="S50" si="17">IF(F50&lt;=ExpQ3,G50,0)+IF(H50&lt;=ExpQ3,I50,0)+IF(J50&lt;=ExpQ3,K50,0)+IF(L50&lt;=ExpQ3,M50,0)+IF(N50&lt;=ExpQ3,O50,0)</f>
        <v>0</v>
      </c>
      <c r="T50" s="18">
        <f t="shared" ref="T50" si="18">G50+I50+K50+M50+O50</f>
        <v>0</v>
      </c>
    </row>
    <row r="51" spans="2:20" x14ac:dyDescent="0.25">
      <c r="B51" s="117" t="s">
        <v>94</v>
      </c>
      <c r="C51" s="136" t="s">
        <v>95</v>
      </c>
      <c r="D51" s="14" t="s">
        <v>15</v>
      </c>
      <c r="E51" s="14" t="s">
        <v>16</v>
      </c>
      <c r="F51" s="15" t="s">
        <v>767</v>
      </c>
      <c r="G51" s="16"/>
      <c r="H51" s="15"/>
      <c r="I51" s="16"/>
      <c r="J51" s="15"/>
      <c r="K51" s="16"/>
      <c r="L51" s="15"/>
      <c r="M51" s="63"/>
      <c r="N51" s="17"/>
      <c r="O51" s="16"/>
      <c r="P51" s="16"/>
      <c r="Q51" s="152">
        <f t="shared" si="0"/>
        <v>0</v>
      </c>
      <c r="R51" s="152">
        <f t="shared" si="3"/>
        <v>0</v>
      </c>
      <c r="S51" s="152">
        <f t="shared" si="1"/>
        <v>0</v>
      </c>
      <c r="T51" s="18">
        <f t="shared" si="2"/>
        <v>0</v>
      </c>
    </row>
    <row r="52" spans="2:20" x14ac:dyDescent="0.25">
      <c r="B52" s="117" t="s">
        <v>96</v>
      </c>
      <c r="C52" s="136" t="s">
        <v>97</v>
      </c>
      <c r="D52" s="14" t="s">
        <v>15</v>
      </c>
      <c r="E52" s="14" t="s">
        <v>761</v>
      </c>
      <c r="F52" s="15">
        <v>44252</v>
      </c>
      <c r="G52" s="16">
        <v>1</v>
      </c>
      <c r="H52" s="15">
        <v>44420</v>
      </c>
      <c r="I52" s="16">
        <v>2</v>
      </c>
      <c r="J52" s="15"/>
      <c r="K52" s="16"/>
      <c r="L52" s="15"/>
      <c r="M52" s="63"/>
      <c r="N52" s="17"/>
      <c r="O52" s="16"/>
      <c r="P52" s="16"/>
      <c r="Q52" s="152">
        <f t="shared" si="0"/>
        <v>1</v>
      </c>
      <c r="R52" s="152">
        <f t="shared" si="3"/>
        <v>1</v>
      </c>
      <c r="S52" s="152">
        <f t="shared" si="1"/>
        <v>3</v>
      </c>
      <c r="T52" s="18">
        <f t="shared" si="2"/>
        <v>3</v>
      </c>
    </row>
    <row r="53" spans="2:20" x14ac:dyDescent="0.25">
      <c r="B53" s="117" t="s">
        <v>98</v>
      </c>
      <c r="C53" s="136" t="s">
        <v>99</v>
      </c>
      <c r="D53" s="14" t="s">
        <v>15</v>
      </c>
      <c r="E53" s="14" t="s">
        <v>16</v>
      </c>
      <c r="F53" s="15">
        <v>44316</v>
      </c>
      <c r="G53" s="16">
        <v>3.3</v>
      </c>
      <c r="H53" s="15"/>
      <c r="I53" s="16"/>
      <c r="J53" s="15"/>
      <c r="K53" s="16"/>
      <c r="L53" s="15"/>
      <c r="M53" s="63"/>
      <c r="N53" s="17"/>
      <c r="O53" s="16"/>
      <c r="P53" s="16"/>
      <c r="Q53" s="152">
        <f t="shared" si="0"/>
        <v>0</v>
      </c>
      <c r="R53" s="152">
        <f t="shared" si="3"/>
        <v>3.3</v>
      </c>
      <c r="S53" s="152">
        <f t="shared" si="1"/>
        <v>3.3</v>
      </c>
      <c r="T53" s="18">
        <f t="shared" si="2"/>
        <v>3.3</v>
      </c>
    </row>
    <row r="54" spans="2:20" x14ac:dyDescent="0.25">
      <c r="B54" s="117" t="s">
        <v>804</v>
      </c>
      <c r="C54" s="136" t="s">
        <v>805</v>
      </c>
      <c r="D54" s="14" t="s">
        <v>15</v>
      </c>
      <c r="E54" s="14" t="s">
        <v>16</v>
      </c>
      <c r="F54" s="15">
        <v>44265</v>
      </c>
      <c r="G54" s="16">
        <v>0.4551</v>
      </c>
      <c r="H54" s="15">
        <v>44475</v>
      </c>
      <c r="I54" s="16">
        <v>4.7218</v>
      </c>
      <c r="J54" s="15"/>
      <c r="K54" s="16"/>
      <c r="L54" s="15"/>
      <c r="M54" s="63"/>
      <c r="N54" s="17"/>
      <c r="O54" s="16"/>
      <c r="P54" s="16"/>
      <c r="Q54" s="152">
        <f t="shared" ref="Q54" si="19">IF(F54&lt;=ExpQ1,G54,0)+IF(H54&lt;=ExpQ1,I54,0)+IF(J54&lt;=ExpQ1,K54,0)+IF(L54&lt;=ExpQ1,M54,0)+IF(N54&lt;=ExpQ1,O54,0)</f>
        <v>0.4551</v>
      </c>
      <c r="R54" s="152">
        <f t="shared" ref="R54" si="20">IF(F54&lt;=ExpH1,G54,0)+IF(H54&lt;=ExpH1,I54,0)+IF(J54&lt;=ExpH1,K54,0)+IF(L54&lt;=ExpH1,M54,0)+IF(N54&lt;=ExpH1,O54,0)</f>
        <v>0.4551</v>
      </c>
      <c r="S54" s="152">
        <f t="shared" ref="S54" si="21">IF(F54&lt;=ExpQ3,G54,0)+IF(H54&lt;=ExpQ3,I54,0)+IF(J54&lt;=ExpQ3,K54,0)+IF(L54&lt;=ExpQ3,M54,0)+IF(N54&lt;=ExpQ3,O54,0)</f>
        <v>0.4551</v>
      </c>
      <c r="T54" s="18">
        <f t="shared" ref="T54" si="22">G54+I54+K54+M54+O54</f>
        <v>5.1768999999999998</v>
      </c>
    </row>
    <row r="55" spans="2:20" x14ac:dyDescent="0.25">
      <c r="B55" s="117" t="s">
        <v>100</v>
      </c>
      <c r="C55" s="136" t="s">
        <v>101</v>
      </c>
      <c r="D55" s="14" t="s">
        <v>15</v>
      </c>
      <c r="E55" s="14" t="s">
        <v>16</v>
      </c>
      <c r="F55" s="15">
        <v>44314</v>
      </c>
      <c r="G55" s="16">
        <v>2</v>
      </c>
      <c r="H55" s="15"/>
      <c r="I55" s="16"/>
      <c r="J55" s="15"/>
      <c r="K55" s="16"/>
      <c r="L55" s="15"/>
      <c r="M55" s="63"/>
      <c r="N55" s="17"/>
      <c r="O55" s="16"/>
      <c r="P55" s="16"/>
      <c r="Q55" s="152">
        <f t="shared" si="0"/>
        <v>0</v>
      </c>
      <c r="R55" s="152">
        <f t="shared" si="3"/>
        <v>2</v>
      </c>
      <c r="S55" s="152">
        <f t="shared" si="1"/>
        <v>2</v>
      </c>
      <c r="T55" s="18">
        <f t="shared" si="2"/>
        <v>2</v>
      </c>
    </row>
    <row r="56" spans="2:20" x14ac:dyDescent="0.25">
      <c r="B56" s="117" t="s">
        <v>777</v>
      </c>
      <c r="C56" s="136" t="s">
        <v>778</v>
      </c>
      <c r="D56" s="14" t="s">
        <v>15</v>
      </c>
      <c r="E56" s="14" t="s">
        <v>16</v>
      </c>
      <c r="F56" s="15">
        <v>44320</v>
      </c>
      <c r="G56" s="16">
        <v>1.7</v>
      </c>
      <c r="H56" s="15"/>
      <c r="I56" s="16"/>
      <c r="J56" s="15"/>
      <c r="K56" s="16"/>
      <c r="L56" s="15"/>
      <c r="M56" s="63"/>
      <c r="N56" s="17"/>
      <c r="O56" s="16"/>
      <c r="P56" s="16"/>
      <c r="Q56" s="152">
        <f t="shared" ref="Q56" si="23">IF(F56&lt;=ExpQ1,G56,0)+IF(H56&lt;=ExpQ1,I56,0)+IF(J56&lt;=ExpQ1,K56,0)+IF(L56&lt;=ExpQ1,M56,0)+IF(N56&lt;=ExpQ1,O56,0)</f>
        <v>0</v>
      </c>
      <c r="R56" s="152">
        <f t="shared" ref="R56" si="24">IF(F56&lt;=ExpH1,G56,0)+IF(H56&lt;=ExpH1,I56,0)+IF(J56&lt;=ExpH1,K56,0)+IF(L56&lt;=ExpH1,M56,0)+IF(N56&lt;=ExpH1,O56,0)</f>
        <v>1.7</v>
      </c>
      <c r="S56" s="152">
        <f t="shared" ref="S56" si="25">IF(F56&lt;=ExpQ3,G56,0)+IF(H56&lt;=ExpQ3,I56,0)+IF(J56&lt;=ExpQ3,K56,0)+IF(L56&lt;=ExpQ3,M56,0)+IF(N56&lt;=ExpQ3,O56,0)</f>
        <v>1.7</v>
      </c>
      <c r="T56" s="18">
        <f t="shared" si="2"/>
        <v>1.7</v>
      </c>
    </row>
    <row r="57" spans="2:20" x14ac:dyDescent="0.25">
      <c r="B57" s="117" t="s">
        <v>102</v>
      </c>
      <c r="C57" s="136" t="s">
        <v>103</v>
      </c>
      <c r="D57" s="14" t="s">
        <v>27</v>
      </c>
      <c r="E57" s="14" t="s">
        <v>16</v>
      </c>
      <c r="F57" s="15">
        <v>44321</v>
      </c>
      <c r="G57" s="16">
        <v>0.56999999999999995</v>
      </c>
      <c r="H57" s="15">
        <v>44545</v>
      </c>
      <c r="I57" s="16">
        <v>1.26</v>
      </c>
      <c r="J57" s="15"/>
      <c r="K57" s="16"/>
      <c r="L57" s="15"/>
      <c r="M57" s="63"/>
      <c r="N57" s="17"/>
      <c r="O57" s="16"/>
      <c r="P57" s="16"/>
      <c r="Q57" s="152">
        <f t="shared" si="0"/>
        <v>0</v>
      </c>
      <c r="R57" s="152">
        <f t="shared" si="3"/>
        <v>0.56999999999999995</v>
      </c>
      <c r="S57" s="152">
        <f t="shared" si="1"/>
        <v>0.56999999999999995</v>
      </c>
      <c r="T57" s="18">
        <f t="shared" si="2"/>
        <v>1.83</v>
      </c>
    </row>
    <row r="58" spans="2:20" x14ac:dyDescent="0.25">
      <c r="B58" s="117" t="s">
        <v>104</v>
      </c>
      <c r="C58" s="136" t="s">
        <v>105</v>
      </c>
      <c r="D58" s="14" t="s">
        <v>27</v>
      </c>
      <c r="E58" s="14" t="s">
        <v>16</v>
      </c>
      <c r="F58" s="15">
        <v>44330</v>
      </c>
      <c r="G58" s="16">
        <v>1</v>
      </c>
      <c r="H58" s="15"/>
      <c r="I58" s="16"/>
      <c r="J58" s="15"/>
      <c r="K58" s="16"/>
      <c r="L58" s="15"/>
      <c r="M58" s="16"/>
      <c r="N58" s="17"/>
      <c r="O58" s="16"/>
      <c r="P58" s="16"/>
      <c r="Q58" s="152">
        <f t="shared" si="0"/>
        <v>0</v>
      </c>
      <c r="R58" s="152">
        <f t="shared" si="3"/>
        <v>1</v>
      </c>
      <c r="S58" s="152">
        <f t="shared" si="1"/>
        <v>1</v>
      </c>
      <c r="T58" s="18">
        <f t="shared" si="2"/>
        <v>1</v>
      </c>
    </row>
    <row r="59" spans="2:20" x14ac:dyDescent="0.25">
      <c r="B59" s="117" t="s">
        <v>638</v>
      </c>
      <c r="C59" s="136" t="s">
        <v>107</v>
      </c>
      <c r="D59" s="14" t="s">
        <v>15</v>
      </c>
      <c r="E59" s="14" t="s">
        <v>56</v>
      </c>
      <c r="F59" s="15">
        <v>44259</v>
      </c>
      <c r="G59" s="16">
        <v>1.01</v>
      </c>
      <c r="H59" s="15">
        <v>44440</v>
      </c>
      <c r="I59" s="16">
        <v>2</v>
      </c>
      <c r="J59" s="15"/>
      <c r="K59" s="16"/>
      <c r="L59" s="15"/>
      <c r="M59" s="16"/>
      <c r="N59" s="17"/>
      <c r="O59" s="16"/>
      <c r="P59" s="16"/>
      <c r="Q59" s="152">
        <f t="shared" si="0"/>
        <v>1.01</v>
      </c>
      <c r="R59" s="152">
        <f t="shared" si="3"/>
        <v>1.01</v>
      </c>
      <c r="S59" s="152">
        <f t="shared" si="1"/>
        <v>3.01</v>
      </c>
      <c r="T59" s="18">
        <f t="shared" si="2"/>
        <v>3.01</v>
      </c>
    </row>
    <row r="60" spans="2:20" x14ac:dyDescent="0.25">
      <c r="B60" s="117" t="s">
        <v>108</v>
      </c>
      <c r="C60" s="136" t="s">
        <v>109</v>
      </c>
      <c r="D60" s="14" t="s">
        <v>15</v>
      </c>
      <c r="E60" s="14" t="s">
        <v>16</v>
      </c>
      <c r="F60" s="15">
        <v>44329</v>
      </c>
      <c r="G60" s="16">
        <v>1.9</v>
      </c>
      <c r="H60" s="15"/>
      <c r="I60" s="16"/>
      <c r="J60" s="15"/>
      <c r="K60" s="16"/>
      <c r="L60" s="15"/>
      <c r="M60" s="63"/>
      <c r="N60" s="17"/>
      <c r="O60" s="16"/>
      <c r="P60" s="16"/>
      <c r="Q60" s="152">
        <f t="shared" si="0"/>
        <v>0</v>
      </c>
      <c r="R60" s="152">
        <f t="shared" si="3"/>
        <v>1.9</v>
      </c>
      <c r="S60" s="152">
        <f t="shared" si="1"/>
        <v>1.9</v>
      </c>
      <c r="T60" s="18">
        <f t="shared" si="2"/>
        <v>1.9</v>
      </c>
    </row>
    <row r="61" spans="2:20" x14ac:dyDescent="0.25">
      <c r="B61" s="117" t="s">
        <v>110</v>
      </c>
      <c r="C61" s="136" t="s">
        <v>111</v>
      </c>
      <c r="D61" s="14" t="s">
        <v>24</v>
      </c>
      <c r="E61" s="14" t="s">
        <v>16</v>
      </c>
      <c r="F61" s="15">
        <v>44340</v>
      </c>
      <c r="G61" s="16">
        <v>1.1100000000000001</v>
      </c>
      <c r="H61" s="15">
        <v>44467</v>
      </c>
      <c r="I61" s="16">
        <v>1.55</v>
      </c>
      <c r="J61" s="15"/>
      <c r="K61" s="16"/>
      <c r="L61" s="15"/>
      <c r="M61" s="16"/>
      <c r="N61" s="17"/>
      <c r="O61" s="16"/>
      <c r="P61" s="16"/>
      <c r="Q61" s="152">
        <f t="shared" si="0"/>
        <v>0</v>
      </c>
      <c r="R61" s="152">
        <f t="shared" si="3"/>
        <v>1.1100000000000001</v>
      </c>
      <c r="S61" s="152">
        <f t="shared" si="1"/>
        <v>1.1100000000000001</v>
      </c>
      <c r="T61" s="18">
        <f t="shared" si="2"/>
        <v>2.66</v>
      </c>
    </row>
    <row r="62" spans="2:20" x14ac:dyDescent="0.25">
      <c r="B62" s="117" t="s">
        <v>114</v>
      </c>
      <c r="C62" s="136" t="s">
        <v>115</v>
      </c>
      <c r="D62" s="14" t="s">
        <v>24</v>
      </c>
      <c r="E62" s="14" t="s">
        <v>16</v>
      </c>
      <c r="F62" s="15">
        <v>44357</v>
      </c>
      <c r="G62" s="16">
        <v>0.04</v>
      </c>
      <c r="H62" s="15">
        <v>44440</v>
      </c>
      <c r="I62" s="16">
        <v>0.02</v>
      </c>
      <c r="J62" s="15"/>
      <c r="K62" s="16"/>
      <c r="L62" s="15"/>
      <c r="M62" s="63"/>
      <c r="N62" s="17"/>
      <c r="O62" s="16"/>
      <c r="P62" s="16"/>
      <c r="Q62" s="152">
        <f t="shared" si="0"/>
        <v>0</v>
      </c>
      <c r="R62" s="152">
        <f t="shared" si="3"/>
        <v>0.04</v>
      </c>
      <c r="S62" s="152">
        <f t="shared" si="1"/>
        <v>0.06</v>
      </c>
      <c r="T62" s="18">
        <f t="shared" si="2"/>
        <v>0.06</v>
      </c>
    </row>
    <row r="63" spans="2:20" x14ac:dyDescent="0.25">
      <c r="B63" s="117" t="s">
        <v>118</v>
      </c>
      <c r="C63" s="136" t="s">
        <v>119</v>
      </c>
      <c r="D63" s="14" t="s">
        <v>15</v>
      </c>
      <c r="E63" s="14" t="s">
        <v>16</v>
      </c>
      <c r="F63" s="15">
        <v>44330</v>
      </c>
      <c r="G63" s="16">
        <v>0.5</v>
      </c>
      <c r="H63" s="15"/>
      <c r="I63" s="16"/>
      <c r="J63" s="15"/>
      <c r="K63" s="16"/>
      <c r="L63" s="15"/>
      <c r="M63" s="63"/>
      <c r="N63" s="17"/>
      <c r="O63" s="16"/>
      <c r="P63" s="16"/>
      <c r="Q63" s="152">
        <f t="shared" si="0"/>
        <v>0</v>
      </c>
      <c r="R63" s="152">
        <f t="shared" si="3"/>
        <v>0.5</v>
      </c>
      <c r="S63" s="152">
        <f t="shared" si="1"/>
        <v>0.5</v>
      </c>
      <c r="T63" s="18">
        <f t="shared" si="2"/>
        <v>0.5</v>
      </c>
    </row>
    <row r="64" spans="2:20" x14ac:dyDescent="0.25">
      <c r="B64" s="117" t="s">
        <v>120</v>
      </c>
      <c r="C64" s="136" t="s">
        <v>121</v>
      </c>
      <c r="D64" s="14" t="s">
        <v>24</v>
      </c>
      <c r="E64" s="14" t="s">
        <v>16</v>
      </c>
      <c r="F64" s="15">
        <v>44320</v>
      </c>
      <c r="G64" s="16">
        <v>1.7</v>
      </c>
      <c r="H64" s="15"/>
      <c r="I64" s="16"/>
      <c r="J64" s="15"/>
      <c r="K64" s="16"/>
      <c r="L64" s="15"/>
      <c r="M64" s="63"/>
      <c r="N64" s="17"/>
      <c r="O64" s="16"/>
      <c r="P64" s="16"/>
      <c r="Q64" s="152">
        <f t="shared" si="0"/>
        <v>0</v>
      </c>
      <c r="R64" s="152">
        <f t="shared" si="3"/>
        <v>1.7</v>
      </c>
      <c r="S64" s="152">
        <f t="shared" si="1"/>
        <v>1.7</v>
      </c>
      <c r="T64" s="18">
        <f t="shared" si="2"/>
        <v>1.7</v>
      </c>
    </row>
    <row r="65" spans="1:21" x14ac:dyDescent="0.25">
      <c r="B65" s="117" t="s">
        <v>122</v>
      </c>
      <c r="C65" s="136" t="s">
        <v>123</v>
      </c>
      <c r="D65" s="14" t="s">
        <v>15</v>
      </c>
      <c r="E65" s="14" t="s">
        <v>761</v>
      </c>
      <c r="F65" s="15">
        <v>44245</v>
      </c>
      <c r="G65" s="16">
        <v>3.7684000000000002</v>
      </c>
      <c r="H65" s="15">
        <v>44322</v>
      </c>
      <c r="I65" s="16">
        <v>3.7118000000000002</v>
      </c>
      <c r="J65" s="15">
        <v>44420</v>
      </c>
      <c r="K65" s="16">
        <v>3.9529000000000001</v>
      </c>
      <c r="L65" s="15">
        <v>44511</v>
      </c>
      <c r="M65" s="63">
        <f>0.0546/1.1558*0.85548*100</f>
        <v>4.0412881121301263</v>
      </c>
      <c r="N65" s="17"/>
      <c r="O65" s="16"/>
      <c r="P65" s="16"/>
      <c r="Q65" s="152">
        <f t="shared" si="0"/>
        <v>3.7684000000000002</v>
      </c>
      <c r="R65" s="152">
        <f t="shared" si="3"/>
        <v>7.4802</v>
      </c>
      <c r="S65" s="152">
        <f t="shared" si="1"/>
        <v>11.4331</v>
      </c>
      <c r="T65" s="18">
        <f t="shared" si="2"/>
        <v>15.474388112130125</v>
      </c>
    </row>
    <row r="66" spans="1:21" x14ac:dyDescent="0.25">
      <c r="B66" s="117" t="s">
        <v>124</v>
      </c>
      <c r="C66" s="136" t="s">
        <v>125</v>
      </c>
      <c r="D66" s="14" t="s">
        <v>15</v>
      </c>
      <c r="E66" s="14" t="s">
        <v>16</v>
      </c>
      <c r="F66" s="15">
        <v>44340</v>
      </c>
      <c r="G66" s="16">
        <v>0.04</v>
      </c>
      <c r="H66" s="15"/>
      <c r="I66" s="16"/>
      <c r="J66" s="15"/>
      <c r="K66" s="16"/>
      <c r="L66" s="15"/>
      <c r="M66" s="63"/>
      <c r="N66" s="17"/>
      <c r="O66" s="16"/>
      <c r="P66" s="16"/>
      <c r="Q66" s="152">
        <f t="shared" si="0"/>
        <v>0</v>
      </c>
      <c r="R66" s="152">
        <f t="shared" si="3"/>
        <v>0.04</v>
      </c>
      <c r="S66" s="152">
        <f t="shared" si="1"/>
        <v>0.04</v>
      </c>
      <c r="T66" s="18">
        <f t="shared" si="2"/>
        <v>0.04</v>
      </c>
    </row>
    <row r="67" spans="1:21" x14ac:dyDescent="0.25">
      <c r="B67" s="117" t="s">
        <v>126</v>
      </c>
      <c r="C67" s="136" t="s">
        <v>127</v>
      </c>
      <c r="D67" s="14" t="s">
        <v>27</v>
      </c>
      <c r="E67" s="14" t="s">
        <v>16</v>
      </c>
      <c r="F67" s="15"/>
      <c r="G67" s="16"/>
      <c r="H67" s="15"/>
      <c r="I67" s="16"/>
      <c r="J67" s="15"/>
      <c r="K67" s="16"/>
      <c r="L67" s="15"/>
      <c r="M67" s="63"/>
      <c r="N67" s="17"/>
      <c r="O67" s="16"/>
      <c r="P67" s="16"/>
      <c r="Q67" s="152">
        <f t="shared" si="0"/>
        <v>0</v>
      </c>
      <c r="R67" s="152">
        <f t="shared" si="3"/>
        <v>0</v>
      </c>
      <c r="S67" s="152">
        <f t="shared" si="1"/>
        <v>0</v>
      </c>
      <c r="T67" s="18">
        <f t="shared" si="2"/>
        <v>0</v>
      </c>
    </row>
    <row r="68" spans="1:21" x14ac:dyDescent="0.25">
      <c r="B68" s="117" t="s">
        <v>128</v>
      </c>
      <c r="C68" s="136" t="s">
        <v>129</v>
      </c>
      <c r="D68" s="14" t="s">
        <v>15</v>
      </c>
      <c r="E68" s="14" t="s">
        <v>761</v>
      </c>
      <c r="F68" s="15">
        <v>44280</v>
      </c>
      <c r="G68" s="16">
        <v>53.9</v>
      </c>
      <c r="H68" s="15">
        <v>44385</v>
      </c>
      <c r="I68" s="16">
        <v>53.9</v>
      </c>
      <c r="J68" s="15">
        <v>44469</v>
      </c>
      <c r="K68" s="16">
        <v>53.9</v>
      </c>
      <c r="L68" s="15"/>
      <c r="M68" s="63"/>
      <c r="N68" s="17"/>
      <c r="O68" s="16"/>
      <c r="P68" s="16"/>
      <c r="Q68" s="152">
        <f t="shared" si="0"/>
        <v>0</v>
      </c>
      <c r="R68" s="152">
        <f t="shared" si="3"/>
        <v>53.9</v>
      </c>
      <c r="S68" s="152">
        <f t="shared" si="1"/>
        <v>107.8</v>
      </c>
      <c r="T68" s="18">
        <f t="shared" si="2"/>
        <v>161.69999999999999</v>
      </c>
    </row>
    <row r="69" spans="1:21" x14ac:dyDescent="0.25">
      <c r="B69" s="117" t="s">
        <v>130</v>
      </c>
      <c r="C69" s="136" t="s">
        <v>131</v>
      </c>
      <c r="D69" s="14" t="s">
        <v>15</v>
      </c>
      <c r="E69" s="14" t="s">
        <v>761</v>
      </c>
      <c r="F69" s="15"/>
      <c r="G69" s="16"/>
      <c r="H69" s="15"/>
      <c r="I69" s="16"/>
      <c r="J69" s="15"/>
      <c r="K69" s="16"/>
      <c r="L69" s="15"/>
      <c r="M69" s="63"/>
      <c r="N69" s="17"/>
      <c r="O69" s="16"/>
      <c r="P69" s="16"/>
      <c r="Q69" s="152">
        <f t="shared" si="0"/>
        <v>0</v>
      </c>
      <c r="R69" s="152">
        <f t="shared" si="3"/>
        <v>0</v>
      </c>
      <c r="S69" s="152">
        <f t="shared" si="1"/>
        <v>0</v>
      </c>
      <c r="T69" s="18">
        <f t="shared" si="2"/>
        <v>0</v>
      </c>
    </row>
    <row r="70" spans="1:21" x14ac:dyDescent="0.25">
      <c r="B70" s="117" t="s">
        <v>132</v>
      </c>
      <c r="C70" s="136" t="s">
        <v>133</v>
      </c>
      <c r="D70" s="14" t="s">
        <v>15</v>
      </c>
      <c r="E70" s="14" t="s">
        <v>16</v>
      </c>
      <c r="F70" s="15">
        <v>44336</v>
      </c>
      <c r="G70" s="16">
        <v>2.6800000000000001E-2</v>
      </c>
      <c r="H70" s="15"/>
      <c r="I70" s="16"/>
      <c r="J70" s="15"/>
      <c r="K70" s="16"/>
      <c r="L70" s="15"/>
      <c r="M70" s="63"/>
      <c r="N70" s="17"/>
      <c r="O70" s="16"/>
      <c r="P70" s="16"/>
      <c r="Q70" s="152">
        <f t="shared" si="0"/>
        <v>0</v>
      </c>
      <c r="R70" s="152">
        <f t="shared" si="3"/>
        <v>2.6800000000000001E-2</v>
      </c>
      <c r="S70" s="152">
        <f t="shared" si="1"/>
        <v>2.6800000000000001E-2</v>
      </c>
      <c r="T70" s="18">
        <f t="shared" si="2"/>
        <v>2.6800000000000001E-2</v>
      </c>
    </row>
    <row r="71" spans="1:21" x14ac:dyDescent="0.25">
      <c r="B71" s="117" t="s">
        <v>608</v>
      </c>
      <c r="C71" s="136" t="s">
        <v>134</v>
      </c>
      <c r="D71" s="14" t="s">
        <v>24</v>
      </c>
      <c r="E71" s="14" t="s">
        <v>16</v>
      </c>
      <c r="F71" s="15">
        <v>44349</v>
      </c>
      <c r="G71" s="16">
        <v>1.95</v>
      </c>
      <c r="H71" s="15"/>
      <c r="I71" s="16"/>
      <c r="J71" s="15"/>
      <c r="K71" s="16"/>
      <c r="L71" s="15"/>
      <c r="M71" s="63"/>
      <c r="N71" s="17"/>
      <c r="O71" s="16"/>
      <c r="P71" s="16"/>
      <c r="Q71" s="152">
        <f t="shared" si="0"/>
        <v>0</v>
      </c>
      <c r="R71" s="152">
        <f t="shared" si="3"/>
        <v>1.95</v>
      </c>
      <c r="S71" s="152">
        <f t="shared" si="1"/>
        <v>1.95</v>
      </c>
      <c r="T71" s="18">
        <f t="shared" si="2"/>
        <v>1.95</v>
      </c>
    </row>
    <row r="72" spans="1:21" x14ac:dyDescent="0.25">
      <c r="B72" s="117" t="s">
        <v>135</v>
      </c>
      <c r="C72" s="136" t="s">
        <v>136</v>
      </c>
      <c r="D72" s="14" t="s">
        <v>24</v>
      </c>
      <c r="E72" s="14" t="s">
        <v>16</v>
      </c>
      <c r="F72" s="15">
        <v>44342</v>
      </c>
      <c r="G72" s="16">
        <v>0.48</v>
      </c>
      <c r="H72" s="15"/>
      <c r="I72" s="16"/>
      <c r="J72" s="15"/>
      <c r="K72" s="16"/>
      <c r="L72" s="15"/>
      <c r="M72" s="63"/>
      <c r="N72" s="17"/>
      <c r="O72" s="16"/>
      <c r="P72" s="16"/>
      <c r="Q72" s="152">
        <f t="shared" si="0"/>
        <v>0</v>
      </c>
      <c r="R72" s="152">
        <f t="shared" si="3"/>
        <v>0.48</v>
      </c>
      <c r="S72" s="152">
        <f t="shared" si="1"/>
        <v>0.48</v>
      </c>
      <c r="T72" s="18">
        <f t="shared" si="2"/>
        <v>0.48</v>
      </c>
    </row>
    <row r="73" spans="1:21" x14ac:dyDescent="0.25">
      <c r="B73" s="117" t="s">
        <v>137</v>
      </c>
      <c r="C73" s="136" t="s">
        <v>138</v>
      </c>
      <c r="D73" s="14" t="s">
        <v>24</v>
      </c>
      <c r="E73" s="14" t="s">
        <v>16</v>
      </c>
      <c r="F73" s="15"/>
      <c r="G73" s="16"/>
      <c r="H73" s="15"/>
      <c r="I73" s="16"/>
      <c r="J73" s="15"/>
      <c r="K73" s="16"/>
      <c r="L73" s="15"/>
      <c r="M73" s="63"/>
      <c r="N73" s="17"/>
      <c r="O73" s="16"/>
      <c r="P73" s="16"/>
      <c r="Q73" s="152">
        <f t="shared" si="0"/>
        <v>0</v>
      </c>
      <c r="R73" s="152">
        <f t="shared" si="3"/>
        <v>0</v>
      </c>
      <c r="S73" s="152">
        <f t="shared" si="1"/>
        <v>0</v>
      </c>
      <c r="T73" s="18">
        <f t="shared" si="2"/>
        <v>0</v>
      </c>
    </row>
    <row r="74" spans="1:21" x14ac:dyDescent="0.25">
      <c r="B74" s="117" t="s">
        <v>139</v>
      </c>
      <c r="C74" s="136" t="s">
        <v>140</v>
      </c>
      <c r="D74" s="14" t="s">
        <v>15</v>
      </c>
      <c r="E74" s="14" t="s">
        <v>761</v>
      </c>
      <c r="F74" s="15"/>
      <c r="G74" s="16"/>
      <c r="H74" s="15"/>
      <c r="I74" s="16"/>
      <c r="J74" s="15"/>
      <c r="K74" s="16"/>
      <c r="L74" s="15"/>
      <c r="M74" s="63"/>
      <c r="N74" s="17"/>
      <c r="O74" s="16"/>
      <c r="P74" s="16"/>
      <c r="Q74" s="152">
        <f t="shared" si="0"/>
        <v>0</v>
      </c>
      <c r="R74" s="152">
        <f t="shared" si="3"/>
        <v>0</v>
      </c>
      <c r="S74" s="152">
        <f t="shared" si="1"/>
        <v>0</v>
      </c>
      <c r="T74" s="18">
        <f t="shared" si="2"/>
        <v>0</v>
      </c>
    </row>
    <row r="75" spans="1:21" x14ac:dyDescent="0.25">
      <c r="B75" s="117" t="s">
        <v>725</v>
      </c>
      <c r="C75" s="136" t="s">
        <v>726</v>
      </c>
      <c r="D75" s="14" t="s">
        <v>24</v>
      </c>
      <c r="E75" s="14" t="s">
        <v>16</v>
      </c>
      <c r="F75" s="15">
        <v>44307</v>
      </c>
      <c r="G75" s="16">
        <v>1.57</v>
      </c>
      <c r="H75" s="15"/>
      <c r="I75" s="16"/>
      <c r="J75" s="15"/>
      <c r="K75" s="16"/>
      <c r="L75" s="15"/>
      <c r="M75" s="63"/>
      <c r="N75" s="17"/>
      <c r="O75" s="16"/>
      <c r="P75" s="16"/>
      <c r="Q75" s="152">
        <f t="shared" si="0"/>
        <v>0</v>
      </c>
      <c r="R75" s="152">
        <f t="shared" si="3"/>
        <v>1.57</v>
      </c>
      <c r="S75" s="152">
        <f t="shared" si="1"/>
        <v>1.57</v>
      </c>
      <c r="T75" s="18">
        <f t="shared" si="2"/>
        <v>1.57</v>
      </c>
    </row>
    <row r="76" spans="1:21" x14ac:dyDescent="0.25">
      <c r="B76" s="117" t="s">
        <v>151</v>
      </c>
      <c r="C76" s="136" t="s">
        <v>152</v>
      </c>
      <c r="D76" s="14" t="s">
        <v>15</v>
      </c>
      <c r="E76" s="14" t="s">
        <v>16</v>
      </c>
      <c r="F76" s="15">
        <v>44385</v>
      </c>
      <c r="G76" s="16">
        <v>0.64</v>
      </c>
      <c r="H76" s="15"/>
      <c r="I76" s="16"/>
      <c r="J76" s="15"/>
      <c r="K76" s="16"/>
      <c r="L76" s="15"/>
      <c r="M76" s="63"/>
      <c r="N76" s="17"/>
      <c r="O76" s="16"/>
      <c r="P76" s="16"/>
      <c r="Q76" s="152">
        <f t="shared" si="0"/>
        <v>0</v>
      </c>
      <c r="R76" s="152">
        <f t="shared" si="3"/>
        <v>0</v>
      </c>
      <c r="S76" s="152">
        <f t="shared" si="1"/>
        <v>0.64</v>
      </c>
      <c r="T76" s="18">
        <f t="shared" si="2"/>
        <v>0.64</v>
      </c>
    </row>
    <row r="77" spans="1:21" x14ac:dyDescent="0.25">
      <c r="B77" s="117" t="s">
        <v>806</v>
      </c>
      <c r="C77" s="136" t="s">
        <v>807</v>
      </c>
      <c r="D77" s="14" t="s">
        <v>27</v>
      </c>
      <c r="E77" s="14" t="s">
        <v>16</v>
      </c>
      <c r="F77" s="15">
        <v>44333</v>
      </c>
      <c r="G77" s="16">
        <v>5.8</v>
      </c>
      <c r="H77" s="15"/>
      <c r="I77" s="16"/>
      <c r="J77" s="15"/>
      <c r="K77" s="16"/>
      <c r="L77" s="15"/>
      <c r="M77" s="63"/>
      <c r="N77" s="17"/>
      <c r="O77" s="16"/>
      <c r="P77" s="16"/>
      <c r="Q77" s="152">
        <f t="shared" ref="Q77" si="26">IF(F77&lt;=ExpQ1,G77,0)+IF(H77&lt;=ExpQ1,I77,0)+IF(J77&lt;=ExpQ1,K77,0)+IF(L77&lt;=ExpQ1,M77,0)+IF(N77&lt;=ExpQ1,O77,0)</f>
        <v>0</v>
      </c>
      <c r="R77" s="152">
        <f t="shared" ref="R77" si="27">IF(F77&lt;=ExpH1,G77,0)+IF(H77&lt;=ExpH1,I77,0)+IF(J77&lt;=ExpH1,K77,0)+IF(L77&lt;=ExpH1,M77,0)+IF(N77&lt;=ExpH1,O77,0)</f>
        <v>5.8</v>
      </c>
      <c r="S77" s="152">
        <f t="shared" ref="S77" si="28">IF(F77&lt;=ExpQ3,G77,0)+IF(H77&lt;=ExpQ3,I77,0)+IF(J77&lt;=ExpQ3,K77,0)+IF(L77&lt;=ExpQ3,M77,0)+IF(N77&lt;=ExpQ3,O77,0)</f>
        <v>5.8</v>
      </c>
      <c r="T77" s="18">
        <f t="shared" ref="T77" si="29">G77+I77+K77+M77+O77</f>
        <v>5.8</v>
      </c>
    </row>
    <row r="78" spans="1:21" x14ac:dyDescent="0.25">
      <c r="B78" s="117" t="s">
        <v>153</v>
      </c>
      <c r="C78" s="136" t="s">
        <v>154</v>
      </c>
      <c r="D78" s="14" t="s">
        <v>27</v>
      </c>
      <c r="E78" s="14" t="s">
        <v>16</v>
      </c>
      <c r="F78" s="15">
        <v>44470</v>
      </c>
      <c r="G78" s="16">
        <v>1.47</v>
      </c>
      <c r="H78" s="15"/>
      <c r="I78" s="16"/>
      <c r="J78" s="15"/>
      <c r="K78" s="16"/>
      <c r="L78" s="15"/>
      <c r="M78" s="63"/>
      <c r="N78" s="17"/>
      <c r="O78" s="16"/>
      <c r="P78" s="16"/>
      <c r="Q78" s="152">
        <f t="shared" si="0"/>
        <v>0</v>
      </c>
      <c r="R78" s="152">
        <f t="shared" si="3"/>
        <v>0</v>
      </c>
      <c r="S78" s="152">
        <f t="shared" si="1"/>
        <v>0</v>
      </c>
      <c r="T78" s="18">
        <f t="shared" si="2"/>
        <v>1.47</v>
      </c>
    </row>
    <row r="79" spans="1:21" x14ac:dyDescent="0.25">
      <c r="B79" s="117" t="s">
        <v>156</v>
      </c>
      <c r="C79" s="136" t="s">
        <v>157</v>
      </c>
      <c r="D79" s="14" t="s">
        <v>15</v>
      </c>
      <c r="E79" s="14" t="s">
        <v>21</v>
      </c>
      <c r="F79" s="15">
        <v>44460</v>
      </c>
      <c r="G79" s="16">
        <v>2</v>
      </c>
      <c r="H79" s="15"/>
      <c r="I79" s="16"/>
      <c r="J79" s="15"/>
      <c r="K79" s="16"/>
      <c r="L79" s="15"/>
      <c r="M79" s="63"/>
      <c r="N79" s="17"/>
      <c r="O79" s="16"/>
      <c r="P79" s="16"/>
      <c r="Q79" s="152">
        <f t="shared" si="0"/>
        <v>0</v>
      </c>
      <c r="R79" s="152">
        <f t="shared" si="3"/>
        <v>0</v>
      </c>
      <c r="S79" s="152">
        <f t="shared" si="1"/>
        <v>0</v>
      </c>
      <c r="T79" s="18">
        <f t="shared" si="2"/>
        <v>2</v>
      </c>
    </row>
    <row r="80" spans="1:21" ht="15.75" thickBot="1" x14ac:dyDescent="0.3">
      <c r="A80" s="33"/>
      <c r="B80" s="155" t="s">
        <v>158</v>
      </c>
      <c r="C80" s="156" t="s">
        <v>159</v>
      </c>
      <c r="D80" s="39" t="s">
        <v>15</v>
      </c>
      <c r="E80" s="39" t="s">
        <v>761</v>
      </c>
      <c r="F80" s="40"/>
      <c r="G80" s="41"/>
      <c r="H80" s="40"/>
      <c r="I80" s="41"/>
      <c r="J80" s="40"/>
      <c r="K80" s="41"/>
      <c r="L80" s="40"/>
      <c r="M80" s="79"/>
      <c r="N80" s="42"/>
      <c r="O80" s="41"/>
      <c r="P80" s="41"/>
      <c r="Q80" s="157">
        <f t="shared" si="0"/>
        <v>0</v>
      </c>
      <c r="R80" s="157">
        <f t="shared" si="3"/>
        <v>0</v>
      </c>
      <c r="S80" s="157">
        <f t="shared" si="1"/>
        <v>0</v>
      </c>
      <c r="T80" s="43">
        <f t="shared" si="2"/>
        <v>0</v>
      </c>
      <c r="U80" s="36"/>
    </row>
    <row r="81" spans="2:20" x14ac:dyDescent="0.25">
      <c r="B81" s="161" t="s">
        <v>789</v>
      </c>
      <c r="C81" s="162" t="s">
        <v>163</v>
      </c>
      <c r="D81" s="52" t="s">
        <v>15</v>
      </c>
      <c r="E81" s="52" t="s">
        <v>16</v>
      </c>
      <c r="F81" s="53"/>
      <c r="G81" s="54"/>
      <c r="H81" s="53"/>
      <c r="I81" s="54"/>
      <c r="J81" s="53"/>
      <c r="K81" s="54"/>
      <c r="L81" s="53"/>
      <c r="M81" s="81"/>
      <c r="N81" s="55"/>
      <c r="O81" s="54"/>
      <c r="P81" s="54"/>
      <c r="Q81" s="165">
        <f t="shared" si="0"/>
        <v>0</v>
      </c>
      <c r="R81" s="165">
        <f t="shared" si="3"/>
        <v>0</v>
      </c>
      <c r="S81" s="165">
        <f t="shared" si="1"/>
        <v>0</v>
      </c>
      <c r="T81" s="166">
        <f t="shared" si="2"/>
        <v>0</v>
      </c>
    </row>
    <row r="82" spans="2:20" ht="15.75" thickBot="1" x14ac:dyDescent="0.3">
      <c r="B82" s="163" t="s">
        <v>790</v>
      </c>
      <c r="C82" s="164" t="s">
        <v>163</v>
      </c>
      <c r="D82" s="58" t="s">
        <v>15</v>
      </c>
      <c r="E82" s="58" t="s">
        <v>16</v>
      </c>
      <c r="F82" s="59"/>
      <c r="G82" s="60"/>
      <c r="H82" s="59"/>
      <c r="I82" s="60"/>
      <c r="J82" s="59"/>
      <c r="K82" s="60"/>
      <c r="L82" s="59"/>
      <c r="M82" s="82"/>
      <c r="N82" s="61"/>
      <c r="O82" s="60"/>
      <c r="P82" s="60"/>
      <c r="Q82" s="167"/>
      <c r="R82" s="167">
        <f>IF(F81&lt;=ExpH1,G81,0)+IF(H81&lt;=ExpH1,I81,0)+IF(J81&lt;=ExpH1,K81,0)+IF(L81&lt;=ExpH1,M81,0)+IF(N81&lt;=ExpH1,O81,0)+IF(F82&lt;=ExpH1,0.2*G82,0)+IF(H82&lt;=ExpH1,0.2*I82,0)+IF(J82&lt;=ExpH1,0.2*K82,0)+IF(L82&lt;=ExpH1,0.2*M82,0)+IF(N82&lt;=ExpH1,0.2*O82,0)</f>
        <v>0</v>
      </c>
      <c r="S82" s="167">
        <f>IF(F81&lt;=ExpQ3,G81,0)+IF(H81&lt;=ExpQ3,I81,0)+IF(J81&lt;=ExpQ3,K81,0)+IF(L81&lt;=ExpQ3,M81,0)+IF(N81&lt;=ExpQ3,O81,0)+IF(F82&lt;=ExpQ3,0.5*G82,0)+IF(H82&lt;=ExpQ3,0.5*I82,0)+IF(J82&lt;=ExpQ3,0.5*K82,0)+IF(L82&lt;=ExpQ3,0.5*M82,0)+IF(N82&lt;=ExpQ3,0.5*O82,0)</f>
        <v>0</v>
      </c>
      <c r="T82" s="168">
        <f>G81+I81+K81+M81+O81+0.2*(G82+I82+K82+M82+O82)</f>
        <v>0</v>
      </c>
    </row>
    <row r="83" spans="2:20" x14ac:dyDescent="0.25">
      <c r="B83" s="158" t="s">
        <v>164</v>
      </c>
      <c r="C83" s="159" t="s">
        <v>165</v>
      </c>
      <c r="D83" s="45" t="s">
        <v>24</v>
      </c>
      <c r="E83" s="45" t="s">
        <v>16</v>
      </c>
      <c r="F83" s="46">
        <v>44334</v>
      </c>
      <c r="G83" s="47">
        <v>0.8</v>
      </c>
      <c r="H83" s="46"/>
      <c r="I83" s="47"/>
      <c r="J83" s="46"/>
      <c r="K83" s="47"/>
      <c r="L83" s="46"/>
      <c r="M83" s="80"/>
      <c r="N83" s="48"/>
      <c r="O83" s="47"/>
      <c r="P83" s="47"/>
      <c r="Q83" s="160">
        <f t="shared" si="0"/>
        <v>0</v>
      </c>
      <c r="R83" s="160">
        <f t="shared" si="3"/>
        <v>0.8</v>
      </c>
      <c r="S83" s="160">
        <f t="shared" si="1"/>
        <v>0.8</v>
      </c>
      <c r="T83" s="49">
        <f t="shared" si="2"/>
        <v>0.8</v>
      </c>
    </row>
    <row r="84" spans="2:20" x14ac:dyDescent="0.25">
      <c r="B84" s="117" t="s">
        <v>166</v>
      </c>
      <c r="C84" s="136" t="s">
        <v>167</v>
      </c>
      <c r="D84" s="14" t="s">
        <v>15</v>
      </c>
      <c r="E84" s="14" t="s">
        <v>21</v>
      </c>
      <c r="F84" s="15">
        <v>44320</v>
      </c>
      <c r="G84" s="16">
        <v>0.1</v>
      </c>
      <c r="H84" s="15"/>
      <c r="I84" s="16"/>
      <c r="J84" s="15"/>
      <c r="K84" s="16"/>
      <c r="L84" s="15"/>
      <c r="M84" s="63"/>
      <c r="N84" s="17"/>
      <c r="O84" s="16"/>
      <c r="P84" s="16"/>
      <c r="Q84" s="152">
        <f t="shared" si="0"/>
        <v>0</v>
      </c>
      <c r="R84" s="152">
        <f t="shared" si="3"/>
        <v>0.1</v>
      </c>
      <c r="S84" s="152">
        <f t="shared" si="1"/>
        <v>0.1</v>
      </c>
      <c r="T84" s="18">
        <f t="shared" si="2"/>
        <v>0.1</v>
      </c>
    </row>
    <row r="85" spans="2:20" ht="15.75" thickBot="1" x14ac:dyDescent="0.3">
      <c r="B85" s="155" t="s">
        <v>168</v>
      </c>
      <c r="C85" s="156" t="s">
        <v>169</v>
      </c>
      <c r="D85" s="39" t="s">
        <v>15</v>
      </c>
      <c r="E85" s="39" t="s">
        <v>16</v>
      </c>
      <c r="F85" s="40">
        <v>44273</v>
      </c>
      <c r="G85" s="41">
        <f>0.93/1.1907</f>
        <v>0.78105316200554298</v>
      </c>
      <c r="H85" s="40">
        <v>44448</v>
      </c>
      <c r="I85" s="41">
        <f>0.23/1.1827</f>
        <v>0.19447027986809842</v>
      </c>
      <c r="J85" s="40"/>
      <c r="K85" s="41"/>
      <c r="L85" s="40"/>
      <c r="M85" s="79"/>
      <c r="N85" s="42"/>
      <c r="O85" s="41"/>
      <c r="P85" s="41"/>
      <c r="Q85" s="157">
        <f t="shared" si="0"/>
        <v>0.78105316200554298</v>
      </c>
      <c r="R85" s="157">
        <f t="shared" si="3"/>
        <v>0.78105316200554298</v>
      </c>
      <c r="S85" s="157">
        <f t="shared" si="1"/>
        <v>0.97552344187364137</v>
      </c>
      <c r="T85" s="43">
        <f t="shared" si="2"/>
        <v>0.97552344187364137</v>
      </c>
    </row>
    <row r="86" spans="2:20" x14ac:dyDescent="0.25">
      <c r="B86" s="161" t="s">
        <v>799</v>
      </c>
      <c r="C86" s="162" t="s">
        <v>171</v>
      </c>
      <c r="D86" s="52" t="s">
        <v>15</v>
      </c>
      <c r="E86" s="52" t="s">
        <v>16</v>
      </c>
      <c r="F86" s="53">
        <v>44287</v>
      </c>
      <c r="G86" s="54">
        <v>1.35</v>
      </c>
      <c r="H86" s="53"/>
      <c r="I86" s="54"/>
      <c r="J86" s="53"/>
      <c r="K86" s="54"/>
      <c r="L86" s="53"/>
      <c r="M86" s="81"/>
      <c r="N86" s="55"/>
      <c r="O86" s="54"/>
      <c r="P86" s="54"/>
      <c r="Q86" s="165"/>
      <c r="R86" s="165"/>
      <c r="S86" s="165"/>
      <c r="T86" s="166"/>
    </row>
    <row r="87" spans="2:20" ht="15.75" thickBot="1" x14ac:dyDescent="0.3">
      <c r="B87" s="163" t="s">
        <v>800</v>
      </c>
      <c r="C87" s="164" t="s">
        <v>171</v>
      </c>
      <c r="D87" s="58" t="s">
        <v>15</v>
      </c>
      <c r="E87" s="58" t="s">
        <v>16</v>
      </c>
      <c r="F87" s="59"/>
      <c r="G87" s="60"/>
      <c r="H87" s="59"/>
      <c r="I87" s="60"/>
      <c r="J87" s="59"/>
      <c r="K87" s="60"/>
      <c r="L87" s="59"/>
      <c r="M87" s="82"/>
      <c r="N87" s="61"/>
      <c r="O87" s="60"/>
      <c r="P87" s="60"/>
      <c r="Q87" s="167"/>
      <c r="R87" s="167">
        <f>IF(F86&lt;=ExpH1,G86,0)+IF(H86&lt;=ExpH1,I86,0)+IF(J86&lt;=ExpH1,K86,0)+IF(L86&lt;=ExpH1,M86,0)+IF(N86&lt;=ExpH1,O86,0)+IF(F87&lt;=ExpH1,0.5*G87,0)+IF(H87&lt;=ExpH1,0.5*I87,0)+IF(J87&lt;=ExpH1,0.5*K87,0)+IF(L87&lt;=ExpH1,0.5*M87,0)+IF(N87&lt;=ExpH1,0.5*O87,0)</f>
        <v>1.35</v>
      </c>
      <c r="S87" s="167">
        <f>IF(F86&lt;=ExpQ3,G86,0)+IF(H86&lt;=ExpQ3,I86,0)+IF(J86&lt;=ExpQ3,K86,0)+IF(L86&lt;=ExpQ3,M86,0)+IF(N86&lt;=ExpQ3,O86,0)+IF(F87&lt;=ExpQ3,0.5*G87,0)+IF(H87&lt;=ExpQ3,0.5*I87,0)+IF(J87&lt;=ExpQ3,0.5*K87,0)+IF(L87&lt;=ExpQ3,0.5*M87,0)+IF(N87&lt;=ExpQ3,0.5*O87,0)</f>
        <v>1.35</v>
      </c>
      <c r="T87" s="170">
        <f>G86+I86+K86+M86+O86+0.5*(G87+I87+K87+M87+O87)</f>
        <v>1.35</v>
      </c>
    </row>
    <row r="88" spans="2:20" x14ac:dyDescent="0.25">
      <c r="B88" s="158" t="s">
        <v>172</v>
      </c>
      <c r="C88" s="159" t="s">
        <v>173</v>
      </c>
      <c r="D88" s="45" t="s">
        <v>24</v>
      </c>
      <c r="E88" s="45" t="s">
        <v>16</v>
      </c>
      <c r="F88" s="46">
        <v>44326</v>
      </c>
      <c r="G88" s="47">
        <v>1.94</v>
      </c>
      <c r="H88" s="46"/>
      <c r="I88" s="47"/>
      <c r="J88" s="46"/>
      <c r="K88" s="47"/>
      <c r="L88" s="46"/>
      <c r="M88" s="80"/>
      <c r="N88" s="48"/>
      <c r="O88" s="47"/>
      <c r="P88" s="47"/>
      <c r="Q88" s="160">
        <f t="shared" ref="Q88:Q160" si="30">IF(F88&lt;=ExpQ1,G88,0)+IF(H88&lt;=ExpQ1,I88,0)+IF(J88&lt;=ExpQ1,K88,0)+IF(L88&lt;=ExpQ1,M88,0)+IF(N88&lt;=ExpQ1,O88,0)</f>
        <v>0</v>
      </c>
      <c r="R88" s="160">
        <f t="shared" ref="R88:R160" si="31">IF(F88&lt;=ExpH1,G88,0)+IF(H88&lt;=ExpH1,I88,0)+IF(J88&lt;=ExpH1,K88,0)+IF(L88&lt;=ExpH1,M88,0)+IF(N88&lt;=ExpH1,O88,0)</f>
        <v>1.94</v>
      </c>
      <c r="S88" s="160">
        <f t="shared" ref="S88:S160" si="32">IF(F88&lt;=ExpQ3,G88,0)+IF(H88&lt;=ExpQ3,I88,0)+IF(J88&lt;=ExpQ3,K88,0)+IF(L88&lt;=ExpQ3,M88,0)+IF(N88&lt;=ExpQ3,O88,0)</f>
        <v>1.94</v>
      </c>
      <c r="T88" s="49">
        <f t="shared" ref="T88:T160" si="33">G88+I88+K88+M88+O88</f>
        <v>1.94</v>
      </c>
    </row>
    <row r="89" spans="2:20" x14ac:dyDescent="0.25">
      <c r="B89" s="117" t="s">
        <v>174</v>
      </c>
      <c r="C89" s="136" t="s">
        <v>175</v>
      </c>
      <c r="D89" s="14" t="s">
        <v>15</v>
      </c>
      <c r="E89" s="14" t="s">
        <v>16</v>
      </c>
      <c r="F89" s="15"/>
      <c r="G89" s="16"/>
      <c r="H89" s="15"/>
      <c r="I89" s="16"/>
      <c r="J89" s="15"/>
      <c r="K89" s="16"/>
      <c r="L89" s="15"/>
      <c r="M89" s="63"/>
      <c r="N89" s="17"/>
      <c r="O89" s="16"/>
      <c r="P89" s="16"/>
      <c r="Q89" s="152">
        <f t="shared" si="30"/>
        <v>0</v>
      </c>
      <c r="R89" s="152">
        <f t="shared" si="31"/>
        <v>0</v>
      </c>
      <c r="S89" s="152">
        <f t="shared" si="32"/>
        <v>0</v>
      </c>
      <c r="T89" s="18">
        <f t="shared" si="33"/>
        <v>0</v>
      </c>
    </row>
    <row r="90" spans="2:20" x14ac:dyDescent="0.25">
      <c r="B90" s="117" t="s">
        <v>176</v>
      </c>
      <c r="C90" s="136" t="s">
        <v>177</v>
      </c>
      <c r="D90" s="14" t="s">
        <v>15</v>
      </c>
      <c r="E90" s="14" t="s">
        <v>16</v>
      </c>
      <c r="F90" s="15">
        <v>44336</v>
      </c>
      <c r="G90" s="16">
        <v>3</v>
      </c>
      <c r="H90" s="15"/>
      <c r="I90" s="16"/>
      <c r="J90" s="15"/>
      <c r="K90" s="16"/>
      <c r="L90" s="15"/>
      <c r="M90" s="63"/>
      <c r="N90" s="17"/>
      <c r="O90" s="16"/>
      <c r="P90" s="16"/>
      <c r="Q90" s="152">
        <f t="shared" si="30"/>
        <v>0</v>
      </c>
      <c r="R90" s="152">
        <f t="shared" si="31"/>
        <v>3</v>
      </c>
      <c r="S90" s="152">
        <f t="shared" si="32"/>
        <v>3</v>
      </c>
      <c r="T90" s="18">
        <f t="shared" si="33"/>
        <v>3</v>
      </c>
    </row>
    <row r="91" spans="2:20" x14ac:dyDescent="0.25">
      <c r="B91" s="117" t="s">
        <v>178</v>
      </c>
      <c r="C91" s="136" t="s">
        <v>179</v>
      </c>
      <c r="D91" s="14" t="s">
        <v>15</v>
      </c>
      <c r="E91" s="14" t="s">
        <v>16</v>
      </c>
      <c r="F91" s="15"/>
      <c r="G91" s="16"/>
      <c r="H91" s="15"/>
      <c r="I91" s="16"/>
      <c r="J91" s="15"/>
      <c r="K91" s="16"/>
      <c r="L91" s="15"/>
      <c r="M91" s="63"/>
      <c r="N91" s="17"/>
      <c r="O91" s="16"/>
      <c r="P91" s="16"/>
      <c r="Q91" s="152">
        <f t="shared" si="30"/>
        <v>0</v>
      </c>
      <c r="R91" s="152">
        <f t="shared" si="31"/>
        <v>0</v>
      </c>
      <c r="S91" s="152">
        <f t="shared" si="32"/>
        <v>0</v>
      </c>
      <c r="T91" s="18">
        <f t="shared" si="33"/>
        <v>0</v>
      </c>
    </row>
    <row r="92" spans="2:20" x14ac:dyDescent="0.25">
      <c r="B92" s="117" t="s">
        <v>180</v>
      </c>
      <c r="C92" s="136" t="s">
        <v>181</v>
      </c>
      <c r="D92" s="14" t="s">
        <v>15</v>
      </c>
      <c r="E92" s="14" t="s">
        <v>16</v>
      </c>
      <c r="F92" s="15">
        <v>44323</v>
      </c>
      <c r="G92" s="16">
        <v>1.35</v>
      </c>
      <c r="H92" s="15"/>
      <c r="I92" s="16"/>
      <c r="J92" s="15"/>
      <c r="K92" s="16"/>
      <c r="L92" s="15"/>
      <c r="M92" s="63"/>
      <c r="N92" s="17"/>
      <c r="O92" s="16"/>
      <c r="P92" s="16"/>
      <c r="Q92" s="152">
        <f t="shared" si="30"/>
        <v>0</v>
      </c>
      <c r="R92" s="152">
        <f t="shared" si="31"/>
        <v>1.35</v>
      </c>
      <c r="S92" s="152">
        <f t="shared" si="32"/>
        <v>1.35</v>
      </c>
      <c r="T92" s="18">
        <f t="shared" si="33"/>
        <v>1.35</v>
      </c>
    </row>
    <row r="93" spans="2:20" x14ac:dyDescent="0.25">
      <c r="B93" s="117" t="s">
        <v>182</v>
      </c>
      <c r="C93" s="136" t="s">
        <v>183</v>
      </c>
      <c r="D93" s="14" t="s">
        <v>15</v>
      </c>
      <c r="E93" s="14" t="s">
        <v>16</v>
      </c>
      <c r="F93" s="15">
        <v>44292</v>
      </c>
      <c r="G93" s="16">
        <v>0.6</v>
      </c>
      <c r="H93" s="15"/>
      <c r="I93" s="16"/>
      <c r="J93" s="15"/>
      <c r="K93" s="16"/>
      <c r="L93" s="15"/>
      <c r="M93" s="63"/>
      <c r="N93" s="17"/>
      <c r="O93" s="16"/>
      <c r="P93" s="16"/>
      <c r="Q93" s="152">
        <f t="shared" si="30"/>
        <v>0</v>
      </c>
      <c r="R93" s="152">
        <f t="shared" si="31"/>
        <v>0.6</v>
      </c>
      <c r="S93" s="152">
        <f t="shared" si="32"/>
        <v>0.6</v>
      </c>
      <c r="T93" s="18">
        <f t="shared" si="33"/>
        <v>0.6</v>
      </c>
    </row>
    <row r="94" spans="2:20" x14ac:dyDescent="0.25">
      <c r="B94" s="117" t="s">
        <v>184</v>
      </c>
      <c r="C94" s="136" t="s">
        <v>185</v>
      </c>
      <c r="D94" s="14" t="s">
        <v>15</v>
      </c>
      <c r="E94" s="14" t="s">
        <v>761</v>
      </c>
      <c r="F94" s="15">
        <v>44252</v>
      </c>
      <c r="G94" s="16">
        <v>27.96</v>
      </c>
      <c r="H94" s="15">
        <v>44434</v>
      </c>
      <c r="I94" s="16">
        <v>44.59</v>
      </c>
      <c r="J94" s="15"/>
      <c r="K94" s="16"/>
      <c r="L94" s="15"/>
      <c r="M94" s="63"/>
      <c r="N94" s="17"/>
      <c r="O94" s="16"/>
      <c r="P94" s="16"/>
      <c r="Q94" s="152">
        <f t="shared" si="30"/>
        <v>27.96</v>
      </c>
      <c r="R94" s="152">
        <f t="shared" si="31"/>
        <v>27.96</v>
      </c>
      <c r="S94" s="152">
        <f t="shared" si="32"/>
        <v>72.550000000000011</v>
      </c>
      <c r="T94" s="18">
        <f t="shared" si="33"/>
        <v>72.550000000000011</v>
      </c>
    </row>
    <row r="95" spans="2:20" x14ac:dyDescent="0.25">
      <c r="B95" s="117" t="s">
        <v>781</v>
      </c>
      <c r="C95" s="136" t="s">
        <v>187</v>
      </c>
      <c r="D95" s="14" t="s">
        <v>27</v>
      </c>
      <c r="E95" s="14" t="s">
        <v>16</v>
      </c>
      <c r="F95" s="15">
        <v>44348</v>
      </c>
      <c r="G95" s="16">
        <v>1.35</v>
      </c>
      <c r="H95" s="15"/>
      <c r="I95" s="16"/>
      <c r="J95" s="15"/>
      <c r="K95" s="16"/>
      <c r="L95" s="15"/>
      <c r="M95" s="63"/>
      <c r="N95" s="17"/>
      <c r="O95" s="16"/>
      <c r="P95" s="16"/>
      <c r="Q95" s="152">
        <f t="shared" si="30"/>
        <v>0</v>
      </c>
      <c r="R95" s="152">
        <f t="shared" si="31"/>
        <v>1.35</v>
      </c>
      <c r="S95" s="152">
        <f t="shared" si="32"/>
        <v>1.35</v>
      </c>
      <c r="T95" s="18">
        <f t="shared" si="33"/>
        <v>1.35</v>
      </c>
    </row>
    <row r="96" spans="2:20" x14ac:dyDescent="0.25">
      <c r="B96" s="117" t="s">
        <v>188</v>
      </c>
      <c r="C96" s="136" t="s">
        <v>189</v>
      </c>
      <c r="D96" s="14" t="s">
        <v>15</v>
      </c>
      <c r="E96" s="14" t="s">
        <v>16</v>
      </c>
      <c r="F96" s="15"/>
      <c r="G96" s="16"/>
      <c r="H96" s="15"/>
      <c r="I96" s="16"/>
      <c r="J96" s="15"/>
      <c r="K96" s="16"/>
      <c r="L96" s="15"/>
      <c r="M96" s="63"/>
      <c r="N96" s="17"/>
      <c r="O96" s="16"/>
      <c r="P96" s="16"/>
      <c r="Q96" s="152">
        <f t="shared" si="30"/>
        <v>0</v>
      </c>
      <c r="R96" s="152">
        <f t="shared" si="31"/>
        <v>0</v>
      </c>
      <c r="S96" s="152">
        <f t="shared" si="32"/>
        <v>0</v>
      </c>
      <c r="T96" s="18">
        <f t="shared" si="33"/>
        <v>0</v>
      </c>
    </row>
    <row r="97" spans="2:20" x14ac:dyDescent="0.25">
      <c r="B97" s="117" t="s">
        <v>190</v>
      </c>
      <c r="C97" s="136" t="s">
        <v>191</v>
      </c>
      <c r="D97" s="14" t="s">
        <v>15</v>
      </c>
      <c r="E97" s="14" t="s">
        <v>16</v>
      </c>
      <c r="F97" s="15">
        <v>44326</v>
      </c>
      <c r="G97" s="16">
        <v>1.6</v>
      </c>
      <c r="H97" s="15">
        <v>44413</v>
      </c>
      <c r="I97" s="16">
        <v>0.8</v>
      </c>
      <c r="J97" s="15"/>
      <c r="K97" s="16"/>
      <c r="L97" s="15"/>
      <c r="M97" s="63"/>
      <c r="N97" s="17"/>
      <c r="O97" s="16"/>
      <c r="P97" s="16"/>
      <c r="Q97" s="152">
        <f t="shared" si="30"/>
        <v>0</v>
      </c>
      <c r="R97" s="152">
        <f t="shared" si="31"/>
        <v>1.6</v>
      </c>
      <c r="S97" s="152">
        <f t="shared" si="32"/>
        <v>2.4000000000000004</v>
      </c>
      <c r="T97" s="18">
        <f t="shared" si="33"/>
        <v>2.4000000000000004</v>
      </c>
    </row>
    <row r="98" spans="2:20" x14ac:dyDescent="0.25">
      <c r="B98" s="117" t="s">
        <v>747</v>
      </c>
      <c r="C98" s="136" t="s">
        <v>748</v>
      </c>
      <c r="D98" s="14" t="s">
        <v>237</v>
      </c>
      <c r="E98" s="14" t="s">
        <v>16</v>
      </c>
      <c r="F98" s="15">
        <v>44308</v>
      </c>
      <c r="G98" s="16">
        <v>0.19</v>
      </c>
      <c r="H98" s="15"/>
      <c r="I98" s="16"/>
      <c r="J98" s="15"/>
      <c r="K98" s="16"/>
      <c r="L98" s="15"/>
      <c r="M98" s="63"/>
      <c r="N98" s="17"/>
      <c r="O98" s="16"/>
      <c r="P98" s="16"/>
      <c r="Q98" s="152">
        <f t="shared" ref="Q98" si="34">IF(F98&lt;=ExpQ1,G98,0)+IF(H98&lt;=ExpQ1,I98,0)+IF(J98&lt;=ExpQ1,K98,0)+IF(L98&lt;=ExpQ1,M98,0)+IF(N98&lt;=ExpQ1,O98,0)</f>
        <v>0</v>
      </c>
      <c r="R98" s="152">
        <f t="shared" ref="R98" si="35">IF(F98&lt;=ExpH1,G98,0)+IF(H98&lt;=ExpH1,I98,0)+IF(J98&lt;=ExpH1,K98,0)+IF(L98&lt;=ExpH1,M98,0)+IF(N98&lt;=ExpH1,O98,0)</f>
        <v>0.19</v>
      </c>
      <c r="S98" s="152">
        <f t="shared" ref="S98" si="36">IF(F98&lt;=ExpQ3,G98,0)+IF(H98&lt;=ExpQ3,I98,0)+IF(J98&lt;=ExpQ3,K98,0)+IF(L98&lt;=ExpQ3,M98,0)+IF(N98&lt;=ExpQ3,O98,0)</f>
        <v>0.19</v>
      </c>
      <c r="T98" s="18">
        <f t="shared" si="33"/>
        <v>0.19</v>
      </c>
    </row>
    <row r="99" spans="2:20" x14ac:dyDescent="0.25">
      <c r="B99" s="117" t="s">
        <v>787</v>
      </c>
      <c r="C99" s="136" t="s">
        <v>788</v>
      </c>
      <c r="D99" s="14" t="s">
        <v>237</v>
      </c>
      <c r="E99" s="14" t="s">
        <v>16</v>
      </c>
      <c r="F99" s="15">
        <v>44326</v>
      </c>
      <c r="G99" s="16">
        <v>0.08</v>
      </c>
      <c r="H99" s="15"/>
      <c r="I99" s="16"/>
      <c r="J99" s="15"/>
      <c r="K99" s="16"/>
      <c r="L99" s="15"/>
      <c r="M99" s="63"/>
      <c r="N99" s="17"/>
      <c r="O99" s="16"/>
      <c r="P99" s="16"/>
      <c r="Q99" s="152">
        <f t="shared" ref="Q99" si="37">IF(F99&lt;=ExpQ1,G99,0)+IF(H99&lt;=ExpQ1,I99,0)+IF(J99&lt;=ExpQ1,K99,0)+IF(L99&lt;=ExpQ1,M99,0)+IF(N99&lt;=ExpQ1,O99,0)</f>
        <v>0</v>
      </c>
      <c r="R99" s="152">
        <f t="shared" ref="R99" si="38">IF(F99&lt;=ExpH1,G99,0)+IF(H99&lt;=ExpH1,I99,0)+IF(J99&lt;=ExpH1,K99,0)+IF(L99&lt;=ExpH1,M99,0)+IF(N99&lt;=ExpH1,O99,0)</f>
        <v>0.08</v>
      </c>
      <c r="S99" s="152">
        <f t="shared" ref="S99" si="39">IF(F99&lt;=ExpQ3,G99,0)+IF(H99&lt;=ExpQ3,I99,0)+IF(J99&lt;=ExpQ3,K99,0)+IF(L99&lt;=ExpQ3,M99,0)+IF(N99&lt;=ExpQ3,O99,0)</f>
        <v>0.08</v>
      </c>
      <c r="T99" s="18">
        <f t="shared" ref="T99" si="40">G99+I99+K99+M99+O99</f>
        <v>0.08</v>
      </c>
    </row>
    <row r="100" spans="2:20" x14ac:dyDescent="0.25">
      <c r="B100" s="117" t="s">
        <v>194</v>
      </c>
      <c r="C100" s="136" t="s">
        <v>195</v>
      </c>
      <c r="D100" s="14" t="s">
        <v>15</v>
      </c>
      <c r="E100" s="14" t="s">
        <v>16</v>
      </c>
      <c r="F100" s="15">
        <v>44336</v>
      </c>
      <c r="G100" s="16">
        <v>0.47</v>
      </c>
      <c r="H100" s="15"/>
      <c r="I100" s="16"/>
      <c r="J100" s="15"/>
      <c r="K100" s="16"/>
      <c r="L100" s="15"/>
      <c r="M100" s="63"/>
      <c r="N100" s="17"/>
      <c r="O100" s="16"/>
      <c r="P100" s="16"/>
      <c r="Q100" s="152">
        <f t="shared" si="30"/>
        <v>0</v>
      </c>
      <c r="R100" s="152">
        <f t="shared" si="31"/>
        <v>0.47</v>
      </c>
      <c r="S100" s="152">
        <f t="shared" si="32"/>
        <v>0.47</v>
      </c>
      <c r="T100" s="18">
        <f t="shared" si="33"/>
        <v>0.47</v>
      </c>
    </row>
    <row r="101" spans="2:20" x14ac:dyDescent="0.25">
      <c r="B101" s="117" t="s">
        <v>196</v>
      </c>
      <c r="C101" s="136" t="s">
        <v>197</v>
      </c>
      <c r="D101" s="14" t="s">
        <v>24</v>
      </c>
      <c r="E101" s="14" t="s">
        <v>16</v>
      </c>
      <c r="F101" s="15">
        <v>44328</v>
      </c>
      <c r="G101" s="16">
        <v>0.21</v>
      </c>
      <c r="H101" s="15">
        <v>44511</v>
      </c>
      <c r="I101" s="16">
        <v>0.3</v>
      </c>
      <c r="J101" s="15"/>
      <c r="K101" s="16"/>
      <c r="L101" s="15"/>
      <c r="M101" s="63"/>
      <c r="N101" s="17"/>
      <c r="O101" s="16"/>
      <c r="P101" s="16"/>
      <c r="Q101" s="152">
        <f t="shared" si="30"/>
        <v>0</v>
      </c>
      <c r="R101" s="152">
        <f t="shared" si="31"/>
        <v>0.21</v>
      </c>
      <c r="S101" s="152">
        <f t="shared" si="32"/>
        <v>0.21</v>
      </c>
      <c r="T101" s="18">
        <f t="shared" si="33"/>
        <v>0.51</v>
      </c>
    </row>
    <row r="102" spans="2:20" x14ac:dyDescent="0.25">
      <c r="B102" s="117" t="s">
        <v>198</v>
      </c>
      <c r="C102" s="136" t="s">
        <v>199</v>
      </c>
      <c r="D102" s="14" t="s">
        <v>15</v>
      </c>
      <c r="E102" s="14" t="s">
        <v>200</v>
      </c>
      <c r="F102" s="147">
        <v>44281</v>
      </c>
      <c r="G102" s="148">
        <f>4*0.91542289</f>
        <v>3.66169156</v>
      </c>
      <c r="H102" s="147">
        <v>44467</v>
      </c>
      <c r="I102" s="148">
        <f>4*0.91542289</f>
        <v>3.66169156</v>
      </c>
      <c r="J102" s="15"/>
      <c r="K102" s="16"/>
      <c r="L102" s="15"/>
      <c r="M102" s="63"/>
      <c r="N102" s="17"/>
      <c r="O102" s="16"/>
      <c r="P102" s="16"/>
      <c r="Q102" s="152">
        <f t="shared" si="30"/>
        <v>0</v>
      </c>
      <c r="R102" s="152">
        <f t="shared" si="31"/>
        <v>3.66169156</v>
      </c>
      <c r="S102" s="152">
        <f t="shared" si="32"/>
        <v>3.66169156</v>
      </c>
      <c r="T102" s="18">
        <f t="shared" si="33"/>
        <v>7.3233831199999999</v>
      </c>
    </row>
    <row r="103" spans="2:20" x14ac:dyDescent="0.25">
      <c r="B103" s="117" t="s">
        <v>201</v>
      </c>
      <c r="C103" s="136" t="s">
        <v>202</v>
      </c>
      <c r="D103" s="14" t="s">
        <v>27</v>
      </c>
      <c r="E103" s="14" t="s">
        <v>16</v>
      </c>
      <c r="F103" s="15">
        <v>44344</v>
      </c>
      <c r="G103" s="16">
        <v>1.71</v>
      </c>
      <c r="H103" s="15"/>
      <c r="I103" s="16"/>
      <c r="J103" s="15"/>
      <c r="K103" s="16"/>
      <c r="L103" s="15"/>
      <c r="M103" s="63"/>
      <c r="N103" s="17"/>
      <c r="O103" s="16"/>
      <c r="P103" s="16"/>
      <c r="Q103" s="152">
        <f t="shared" si="30"/>
        <v>0</v>
      </c>
      <c r="R103" s="152">
        <f t="shared" si="31"/>
        <v>1.71</v>
      </c>
      <c r="S103" s="152">
        <f t="shared" si="32"/>
        <v>1.71</v>
      </c>
      <c r="T103" s="18">
        <f t="shared" si="33"/>
        <v>1.71</v>
      </c>
    </row>
    <row r="104" spans="2:20" x14ac:dyDescent="0.25">
      <c r="B104" s="117" t="s">
        <v>717</v>
      </c>
      <c r="C104" s="136" t="s">
        <v>718</v>
      </c>
      <c r="D104" s="14" t="s">
        <v>24</v>
      </c>
      <c r="E104" s="14" t="s">
        <v>16</v>
      </c>
      <c r="F104" s="15"/>
      <c r="G104" s="16"/>
      <c r="H104" s="15"/>
      <c r="I104" s="16"/>
      <c r="J104" s="15"/>
      <c r="K104" s="16"/>
      <c r="L104" s="15"/>
      <c r="M104" s="63"/>
      <c r="N104" s="17"/>
      <c r="O104" s="16"/>
      <c r="P104" s="16"/>
      <c r="Q104" s="152">
        <f t="shared" ref="Q104" si="41">IF(F104&lt;=ExpQ1,G104,0)+IF(H104&lt;=ExpQ1,I104,0)+IF(J104&lt;=ExpQ1,K104,0)+IF(L104&lt;=ExpQ1,M104,0)+IF(N104&lt;=ExpQ1,O104,0)</f>
        <v>0</v>
      </c>
      <c r="R104" s="152">
        <f t="shared" ref="R104" si="42">IF(F104&lt;=ExpH1,G104,0)+IF(H104&lt;=ExpH1,I104,0)+IF(J104&lt;=ExpH1,K104,0)+IF(L104&lt;=ExpH1,M104,0)+IF(N104&lt;=ExpH1,O104,0)</f>
        <v>0</v>
      </c>
      <c r="S104" s="152">
        <f t="shared" ref="S104" si="43">IF(F104&lt;=ExpQ3,G104,0)+IF(H104&lt;=ExpQ3,I104,0)+IF(J104&lt;=ExpQ3,K104,0)+IF(L104&lt;=ExpQ3,M104,0)+IF(N104&lt;=ExpQ3,O104,0)</f>
        <v>0</v>
      </c>
      <c r="T104" s="18">
        <f t="shared" si="33"/>
        <v>0</v>
      </c>
    </row>
    <row r="105" spans="2:20" x14ac:dyDescent="0.25">
      <c r="B105" s="117" t="s">
        <v>203</v>
      </c>
      <c r="C105" s="136" t="s">
        <v>204</v>
      </c>
      <c r="D105" s="14" t="s">
        <v>15</v>
      </c>
      <c r="E105" s="14" t="s">
        <v>16</v>
      </c>
      <c r="F105" s="15">
        <v>44295</v>
      </c>
      <c r="G105" s="16">
        <v>1.95</v>
      </c>
      <c r="H105" s="15"/>
      <c r="I105" s="16"/>
      <c r="J105" s="15"/>
      <c r="K105" s="16"/>
      <c r="L105" s="15"/>
      <c r="M105" s="63"/>
      <c r="N105" s="17"/>
      <c r="O105" s="16"/>
      <c r="P105" s="16"/>
      <c r="Q105" s="152">
        <f t="shared" si="30"/>
        <v>0</v>
      </c>
      <c r="R105" s="152">
        <f t="shared" si="31"/>
        <v>1.95</v>
      </c>
      <c r="S105" s="152">
        <f t="shared" si="32"/>
        <v>1.95</v>
      </c>
      <c r="T105" s="18">
        <f t="shared" si="33"/>
        <v>1.95</v>
      </c>
    </row>
    <row r="106" spans="2:20" x14ac:dyDescent="0.25">
      <c r="B106" s="117" t="s">
        <v>205</v>
      </c>
      <c r="C106" s="136" t="s">
        <v>206</v>
      </c>
      <c r="D106" s="14" t="s">
        <v>15</v>
      </c>
      <c r="E106" s="14" t="s">
        <v>16</v>
      </c>
      <c r="F106" s="15">
        <v>44186</v>
      </c>
      <c r="G106" s="16">
        <v>0.67200000000000004</v>
      </c>
      <c r="H106" s="15">
        <v>44383</v>
      </c>
      <c r="I106" s="16">
        <v>1.008</v>
      </c>
      <c r="J106" s="15">
        <v>44547</v>
      </c>
      <c r="K106" s="16">
        <v>0.68</v>
      </c>
      <c r="L106" s="15"/>
      <c r="M106" s="63"/>
      <c r="N106" s="17"/>
      <c r="O106" s="16"/>
      <c r="P106" s="16"/>
      <c r="Q106" s="152">
        <f t="shared" si="30"/>
        <v>0.67200000000000004</v>
      </c>
      <c r="R106" s="152">
        <f t="shared" si="31"/>
        <v>0.67200000000000004</v>
      </c>
      <c r="S106" s="152">
        <f t="shared" si="32"/>
        <v>1.6800000000000002</v>
      </c>
      <c r="T106" s="18">
        <f t="shared" si="33"/>
        <v>2.3600000000000003</v>
      </c>
    </row>
    <row r="107" spans="2:20" x14ac:dyDescent="0.25">
      <c r="B107" s="117" t="s">
        <v>207</v>
      </c>
      <c r="C107" s="136" t="s">
        <v>208</v>
      </c>
      <c r="D107" s="14" t="s">
        <v>15</v>
      </c>
      <c r="E107" s="14" t="s">
        <v>16</v>
      </c>
      <c r="F107" s="15">
        <v>44195</v>
      </c>
      <c r="G107" s="16">
        <v>0.7</v>
      </c>
      <c r="H107" s="15">
        <v>44376</v>
      </c>
      <c r="I107" s="16">
        <v>1.3136000000000001</v>
      </c>
      <c r="J107" s="15"/>
      <c r="K107" s="16"/>
      <c r="L107" s="15"/>
      <c r="M107" s="63"/>
      <c r="N107" s="17"/>
      <c r="O107" s="16"/>
      <c r="P107" s="16"/>
      <c r="Q107" s="152">
        <f t="shared" si="30"/>
        <v>0.7</v>
      </c>
      <c r="R107" s="152">
        <f t="shared" si="31"/>
        <v>0.7</v>
      </c>
      <c r="S107" s="152">
        <f t="shared" si="32"/>
        <v>2.0136000000000003</v>
      </c>
      <c r="T107" s="18">
        <f t="shared" si="33"/>
        <v>2.0136000000000003</v>
      </c>
    </row>
    <row r="108" spans="2:20" x14ac:dyDescent="0.25">
      <c r="B108" s="117" t="s">
        <v>209</v>
      </c>
      <c r="C108" s="136" t="s">
        <v>210</v>
      </c>
      <c r="D108" s="14" t="s">
        <v>15</v>
      </c>
      <c r="E108" s="14" t="s">
        <v>16</v>
      </c>
      <c r="F108" s="15">
        <v>44214</v>
      </c>
      <c r="G108" s="16">
        <v>0.17499999999999999</v>
      </c>
      <c r="H108" s="15">
        <v>44396</v>
      </c>
      <c r="I108" s="16">
        <v>0.183</v>
      </c>
      <c r="J108" s="15"/>
      <c r="K108" s="16"/>
      <c r="L108" s="15"/>
      <c r="M108" s="16"/>
      <c r="N108" s="17"/>
      <c r="O108" s="16"/>
      <c r="P108" s="16"/>
      <c r="Q108" s="152">
        <f t="shared" si="30"/>
        <v>0.17499999999999999</v>
      </c>
      <c r="R108" s="152">
        <f t="shared" si="31"/>
        <v>0.17499999999999999</v>
      </c>
      <c r="S108" s="152">
        <f t="shared" si="32"/>
        <v>0.35799999999999998</v>
      </c>
      <c r="T108" s="18">
        <f t="shared" si="33"/>
        <v>0.35799999999999998</v>
      </c>
    </row>
    <row r="109" spans="2:20" x14ac:dyDescent="0.25">
      <c r="B109" s="117" t="s">
        <v>211</v>
      </c>
      <c r="C109" s="136" t="s">
        <v>212</v>
      </c>
      <c r="D109" s="14" t="s">
        <v>24</v>
      </c>
      <c r="E109" s="14" t="s">
        <v>16</v>
      </c>
      <c r="F109" s="15">
        <v>44340</v>
      </c>
      <c r="G109" s="16">
        <v>0.53</v>
      </c>
      <c r="H109" s="15"/>
      <c r="I109" s="16"/>
      <c r="J109" s="15"/>
      <c r="K109" s="16"/>
      <c r="L109" s="15"/>
      <c r="M109" s="16"/>
      <c r="N109" s="17"/>
      <c r="O109" s="16"/>
      <c r="P109" s="16"/>
      <c r="Q109" s="152">
        <f t="shared" si="30"/>
        <v>0</v>
      </c>
      <c r="R109" s="152">
        <f t="shared" si="31"/>
        <v>0.53</v>
      </c>
      <c r="S109" s="152">
        <f t="shared" si="32"/>
        <v>0.53</v>
      </c>
      <c r="T109" s="18">
        <f t="shared" si="33"/>
        <v>0.53</v>
      </c>
    </row>
    <row r="110" spans="2:20" x14ac:dyDescent="0.25">
      <c r="B110" s="117" t="s">
        <v>213</v>
      </c>
      <c r="C110" s="136" t="s">
        <v>214</v>
      </c>
      <c r="D110" s="14" t="s">
        <v>15</v>
      </c>
      <c r="E110" s="14" t="s">
        <v>16</v>
      </c>
      <c r="F110" s="15">
        <v>44340</v>
      </c>
      <c r="G110" s="16">
        <v>0.24</v>
      </c>
      <c r="H110" s="15">
        <v>44459</v>
      </c>
      <c r="I110" s="16">
        <v>0.43</v>
      </c>
      <c r="J110" s="15"/>
      <c r="K110" s="16"/>
      <c r="L110" s="15"/>
      <c r="M110" s="63"/>
      <c r="N110" s="17"/>
      <c r="O110" s="16"/>
      <c r="P110" s="16"/>
      <c r="Q110" s="152">
        <f t="shared" si="30"/>
        <v>0</v>
      </c>
      <c r="R110" s="152">
        <f t="shared" si="31"/>
        <v>0.24</v>
      </c>
      <c r="S110" s="152">
        <f t="shared" si="32"/>
        <v>0.24</v>
      </c>
      <c r="T110" s="18">
        <f t="shared" si="33"/>
        <v>0.66999999999999993</v>
      </c>
    </row>
    <row r="111" spans="2:20" x14ac:dyDescent="0.25">
      <c r="B111" s="117" t="s">
        <v>215</v>
      </c>
      <c r="C111" s="136" t="s">
        <v>216</v>
      </c>
      <c r="D111" s="14" t="s">
        <v>15</v>
      </c>
      <c r="E111" s="14" t="s">
        <v>200</v>
      </c>
      <c r="F111" s="15">
        <v>44286</v>
      </c>
      <c r="G111" s="16">
        <v>1</v>
      </c>
      <c r="H111" s="15">
        <v>44469</v>
      </c>
      <c r="I111" s="16">
        <v>1</v>
      </c>
      <c r="J111" s="15"/>
      <c r="K111" s="16"/>
      <c r="L111" s="15"/>
      <c r="M111" s="16"/>
      <c r="N111" s="17"/>
      <c r="O111" s="16"/>
      <c r="P111" s="16"/>
      <c r="Q111" s="152">
        <f t="shared" si="30"/>
        <v>0</v>
      </c>
      <c r="R111" s="152">
        <f t="shared" si="31"/>
        <v>1</v>
      </c>
      <c r="S111" s="152">
        <f t="shared" si="32"/>
        <v>1</v>
      </c>
      <c r="T111" s="18">
        <f t="shared" si="33"/>
        <v>2</v>
      </c>
    </row>
    <row r="112" spans="2:20" x14ac:dyDescent="0.25">
      <c r="B112" s="117" t="s">
        <v>816</v>
      </c>
      <c r="C112" s="136" t="s">
        <v>817</v>
      </c>
      <c r="D112" s="14" t="s">
        <v>15</v>
      </c>
      <c r="E112" s="14" t="s">
        <v>16</v>
      </c>
      <c r="F112" s="15">
        <v>44341</v>
      </c>
      <c r="G112" s="16">
        <v>0.5</v>
      </c>
      <c r="H112" s="15">
        <v>44530</v>
      </c>
      <c r="I112" s="16">
        <v>1</v>
      </c>
      <c r="J112" s="15"/>
      <c r="K112" s="16"/>
      <c r="L112" s="15"/>
      <c r="M112" s="63"/>
      <c r="N112" s="17"/>
      <c r="O112" s="16"/>
      <c r="P112" s="16"/>
      <c r="Q112" s="152">
        <f t="shared" ref="Q112" si="44">IF(F112&lt;=ExpQ1,G112,0)+IF(H112&lt;=ExpQ1,I112,0)+IF(J112&lt;=ExpQ1,K112,0)+IF(L112&lt;=ExpQ1,M112,0)+IF(N112&lt;=ExpQ1,O112,0)</f>
        <v>0</v>
      </c>
      <c r="R112" s="152">
        <f t="shared" ref="R112" si="45">IF(F112&lt;=ExpH1,G112,0)+IF(H112&lt;=ExpH1,I112,0)+IF(J112&lt;=ExpH1,K112,0)+IF(L112&lt;=ExpH1,M112,0)+IF(N112&lt;=ExpH1,O112,0)</f>
        <v>0.5</v>
      </c>
      <c r="S112" s="152">
        <f t="shared" ref="S112" si="46">IF(F112&lt;=ExpQ3,G112,0)+IF(H112&lt;=ExpQ3,I112,0)+IF(J112&lt;=ExpQ3,K112,0)+IF(L112&lt;=ExpQ3,M112,0)+IF(N112&lt;=ExpQ3,O112,0)</f>
        <v>0.5</v>
      </c>
      <c r="T112" s="18">
        <f t="shared" ref="T112" si="47">G112+I112+K112+M112+O112</f>
        <v>1.5</v>
      </c>
    </row>
    <row r="113" spans="2:20" x14ac:dyDescent="0.25">
      <c r="B113" s="117" t="s">
        <v>632</v>
      </c>
      <c r="C113" s="136" t="s">
        <v>218</v>
      </c>
      <c r="D113" s="14" t="s">
        <v>24</v>
      </c>
      <c r="E113" s="14" t="s">
        <v>16</v>
      </c>
      <c r="F113" s="15">
        <v>44188</v>
      </c>
      <c r="G113" s="16">
        <v>1.1499999999999999</v>
      </c>
      <c r="H113" s="15">
        <v>44344</v>
      </c>
      <c r="I113" s="16">
        <v>1.08</v>
      </c>
      <c r="J113" s="15"/>
      <c r="K113" s="16"/>
      <c r="L113" s="15"/>
      <c r="M113" s="63"/>
      <c r="N113" s="17"/>
      <c r="O113" s="16"/>
      <c r="P113" s="16"/>
      <c r="Q113" s="152">
        <f t="shared" si="30"/>
        <v>1.1499999999999999</v>
      </c>
      <c r="R113" s="152">
        <f t="shared" si="31"/>
        <v>2.23</v>
      </c>
      <c r="S113" s="152">
        <f t="shared" si="32"/>
        <v>2.23</v>
      </c>
      <c r="T113" s="18">
        <f t="shared" si="33"/>
        <v>2.23</v>
      </c>
    </row>
    <row r="114" spans="2:20" x14ac:dyDescent="0.25">
      <c r="B114" s="117" t="s">
        <v>808</v>
      </c>
      <c r="C114" s="136" t="s">
        <v>809</v>
      </c>
      <c r="D114" s="14" t="s">
        <v>714</v>
      </c>
      <c r="E114" s="14" t="s">
        <v>16</v>
      </c>
      <c r="F114" s="15">
        <v>44378</v>
      </c>
      <c r="G114" s="16">
        <v>0.68</v>
      </c>
      <c r="H114" s="15"/>
      <c r="I114" s="16"/>
      <c r="J114" s="15"/>
      <c r="K114" s="16"/>
      <c r="L114" s="15"/>
      <c r="M114" s="63"/>
      <c r="N114" s="17"/>
      <c r="O114" s="16"/>
      <c r="P114" s="16"/>
      <c r="Q114" s="152">
        <f t="shared" ref="Q114" si="48">IF(F114&lt;=ExpQ1,G114,0)+IF(H114&lt;=ExpQ1,I114,0)+IF(J114&lt;=ExpQ1,K114,0)+IF(L114&lt;=ExpQ1,M114,0)+IF(N114&lt;=ExpQ1,O114,0)</f>
        <v>0</v>
      </c>
      <c r="R114" s="152">
        <f t="shared" ref="R114" si="49">IF(F114&lt;=ExpH1,G114,0)+IF(H114&lt;=ExpH1,I114,0)+IF(J114&lt;=ExpH1,K114,0)+IF(L114&lt;=ExpH1,M114,0)+IF(N114&lt;=ExpH1,O114,0)</f>
        <v>0</v>
      </c>
      <c r="S114" s="152">
        <f t="shared" ref="S114" si="50">IF(F114&lt;=ExpQ3,G114,0)+IF(H114&lt;=ExpQ3,I114,0)+IF(J114&lt;=ExpQ3,K114,0)+IF(L114&lt;=ExpQ3,M114,0)+IF(N114&lt;=ExpQ3,O114,0)</f>
        <v>0.68</v>
      </c>
      <c r="T114" s="18">
        <f t="shared" ref="T114" si="51">G114+I114+K114+M114+O114</f>
        <v>0.68</v>
      </c>
    </row>
    <row r="115" spans="2:20" x14ac:dyDescent="0.25">
      <c r="B115" s="117" t="s">
        <v>713</v>
      </c>
      <c r="C115" s="136" t="s">
        <v>712</v>
      </c>
      <c r="D115" s="14" t="s">
        <v>714</v>
      </c>
      <c r="E115" s="14" t="s">
        <v>16</v>
      </c>
      <c r="F115" s="15"/>
      <c r="G115" s="16"/>
      <c r="H115" s="15"/>
      <c r="I115" s="16"/>
      <c r="J115" s="15"/>
      <c r="K115" s="16"/>
      <c r="L115" s="15"/>
      <c r="M115" s="63"/>
      <c r="N115" s="17"/>
      <c r="O115" s="16"/>
      <c r="P115" s="16"/>
      <c r="Q115" s="152">
        <f t="shared" si="30"/>
        <v>0</v>
      </c>
      <c r="R115" s="152">
        <f t="shared" si="31"/>
        <v>0</v>
      </c>
      <c r="S115" s="152">
        <f t="shared" si="32"/>
        <v>0</v>
      </c>
      <c r="T115" s="18">
        <f t="shared" si="33"/>
        <v>0</v>
      </c>
    </row>
    <row r="116" spans="2:20" x14ac:dyDescent="0.25">
      <c r="B116" s="117" t="s">
        <v>219</v>
      </c>
      <c r="C116" s="136" t="s">
        <v>220</v>
      </c>
      <c r="D116" s="14" t="s">
        <v>24</v>
      </c>
      <c r="E116" s="14" t="s">
        <v>16</v>
      </c>
      <c r="F116" s="15">
        <v>44516</v>
      </c>
      <c r="G116" s="16">
        <v>0.93</v>
      </c>
      <c r="H116" s="15"/>
      <c r="I116" s="16"/>
      <c r="J116" s="15"/>
      <c r="K116" s="16"/>
      <c r="L116" s="15"/>
      <c r="M116" s="63"/>
      <c r="N116" s="17"/>
      <c r="O116" s="16"/>
      <c r="P116" s="16"/>
      <c r="Q116" s="152">
        <f t="shared" si="30"/>
        <v>0</v>
      </c>
      <c r="R116" s="152">
        <f t="shared" si="31"/>
        <v>0</v>
      </c>
      <c r="S116" s="152">
        <f t="shared" si="32"/>
        <v>0</v>
      </c>
      <c r="T116" s="18">
        <f t="shared" si="33"/>
        <v>0.93</v>
      </c>
    </row>
    <row r="117" spans="2:20" x14ac:dyDescent="0.25">
      <c r="B117" s="117" t="s">
        <v>621</v>
      </c>
      <c r="C117" s="136" t="s">
        <v>450</v>
      </c>
      <c r="D117" s="14" t="s">
        <v>15</v>
      </c>
      <c r="E117" s="14" t="s">
        <v>56</v>
      </c>
      <c r="F117" s="15">
        <v>44238</v>
      </c>
      <c r="G117" s="16">
        <v>0.11</v>
      </c>
      <c r="H117" s="15">
        <v>44328</v>
      </c>
      <c r="I117" s="16">
        <v>0.12</v>
      </c>
      <c r="J117" s="15">
        <v>44419</v>
      </c>
      <c r="K117" s="16">
        <v>0.15</v>
      </c>
      <c r="L117" s="15">
        <v>44511</v>
      </c>
      <c r="M117" s="63">
        <v>0.18</v>
      </c>
      <c r="N117" s="17"/>
      <c r="O117" s="16"/>
      <c r="P117" s="16"/>
      <c r="Q117" s="152">
        <f t="shared" si="30"/>
        <v>0.11</v>
      </c>
      <c r="R117" s="152">
        <f t="shared" si="31"/>
        <v>0.22999999999999998</v>
      </c>
      <c r="S117" s="152">
        <f t="shared" si="32"/>
        <v>0.38</v>
      </c>
      <c r="T117" s="18">
        <f t="shared" si="33"/>
        <v>0.56000000000000005</v>
      </c>
    </row>
    <row r="118" spans="2:20" x14ac:dyDescent="0.25">
      <c r="B118" s="117" t="s">
        <v>221</v>
      </c>
      <c r="C118" s="136" t="s">
        <v>222</v>
      </c>
      <c r="D118" s="14" t="s">
        <v>15</v>
      </c>
      <c r="E118" s="14" t="s">
        <v>56</v>
      </c>
      <c r="F118" s="15">
        <v>44203</v>
      </c>
      <c r="G118" s="16">
        <v>0.14499999999999999</v>
      </c>
      <c r="H118" s="15">
        <v>44371</v>
      </c>
      <c r="I118" s="16">
        <v>0.32500000000000001</v>
      </c>
      <c r="J118" s="15"/>
      <c r="K118" s="16"/>
      <c r="L118" s="15"/>
      <c r="M118" s="63"/>
      <c r="N118" s="17"/>
      <c r="O118" s="16"/>
      <c r="P118" s="16"/>
      <c r="Q118" s="152">
        <f t="shared" si="30"/>
        <v>0.14499999999999999</v>
      </c>
      <c r="R118" s="152">
        <f t="shared" si="31"/>
        <v>0.14499999999999999</v>
      </c>
      <c r="S118" s="152">
        <f t="shared" si="32"/>
        <v>0.47</v>
      </c>
      <c r="T118" s="18">
        <f t="shared" si="33"/>
        <v>0.47</v>
      </c>
    </row>
    <row r="119" spans="2:20" x14ac:dyDescent="0.25">
      <c r="B119" s="117" t="s">
        <v>719</v>
      </c>
      <c r="C119" s="136" t="s">
        <v>720</v>
      </c>
      <c r="D119" s="14" t="s">
        <v>15</v>
      </c>
      <c r="E119" s="14" t="s">
        <v>16</v>
      </c>
      <c r="F119" s="15">
        <v>44305</v>
      </c>
      <c r="G119" s="16">
        <v>0.86699999999999999</v>
      </c>
      <c r="H119" s="15"/>
      <c r="I119" s="16"/>
      <c r="J119" s="15"/>
      <c r="K119" s="16"/>
      <c r="L119" s="15"/>
      <c r="M119" s="63"/>
      <c r="N119" s="17"/>
      <c r="O119" s="16"/>
      <c r="P119" s="16"/>
      <c r="Q119" s="152">
        <f t="shared" si="30"/>
        <v>0</v>
      </c>
      <c r="R119" s="152">
        <f t="shared" si="31"/>
        <v>0.86699999999999999</v>
      </c>
      <c r="S119" s="152">
        <f t="shared" si="32"/>
        <v>0.86699999999999999</v>
      </c>
      <c r="T119" s="18">
        <f t="shared" si="33"/>
        <v>0.86699999999999999</v>
      </c>
    </row>
    <row r="120" spans="2:20" x14ac:dyDescent="0.25">
      <c r="B120" s="117" t="s">
        <v>225</v>
      </c>
      <c r="C120" s="136" t="s">
        <v>226</v>
      </c>
      <c r="D120" s="14" t="s">
        <v>15</v>
      </c>
      <c r="E120" s="14" t="s">
        <v>16</v>
      </c>
      <c r="F120" s="15">
        <v>44329</v>
      </c>
      <c r="G120" s="16">
        <v>0.19700000000000001</v>
      </c>
      <c r="H120" s="15">
        <v>44503</v>
      </c>
      <c r="I120" s="16">
        <v>0.30499999999999999</v>
      </c>
      <c r="J120" s="15"/>
      <c r="K120" s="16"/>
      <c r="L120" s="15"/>
      <c r="M120" s="63"/>
      <c r="N120" s="17"/>
      <c r="O120" s="16"/>
      <c r="P120" s="16"/>
      <c r="Q120" s="152">
        <f t="shared" si="30"/>
        <v>0</v>
      </c>
      <c r="R120" s="152">
        <f t="shared" si="31"/>
        <v>0.19700000000000001</v>
      </c>
      <c r="S120" s="152">
        <f t="shared" si="32"/>
        <v>0.19700000000000001</v>
      </c>
      <c r="T120" s="18">
        <f t="shared" si="33"/>
        <v>0.502</v>
      </c>
    </row>
    <row r="121" spans="2:20" x14ac:dyDescent="0.25">
      <c r="B121" s="117" t="s">
        <v>801</v>
      </c>
      <c r="C121" s="136" t="s">
        <v>802</v>
      </c>
      <c r="D121" s="14" t="s">
        <v>15</v>
      </c>
      <c r="E121" s="14" t="s">
        <v>16</v>
      </c>
      <c r="F121" s="15">
        <v>44522</v>
      </c>
      <c r="G121" s="16">
        <v>0.53</v>
      </c>
      <c r="H121" s="15"/>
      <c r="I121" s="16"/>
      <c r="J121" s="15"/>
      <c r="K121" s="16"/>
      <c r="L121" s="15"/>
      <c r="M121" s="63"/>
      <c r="N121" s="17"/>
      <c r="O121" s="16"/>
      <c r="P121" s="16"/>
      <c r="Q121" s="152">
        <f t="shared" ref="Q121" si="52">IF(F121&lt;=ExpQ1,G121,0)+IF(H121&lt;=ExpQ1,I121,0)+IF(J121&lt;=ExpQ1,K121,0)+IF(L121&lt;=ExpQ1,M121,0)+IF(N121&lt;=ExpQ1,O121,0)</f>
        <v>0</v>
      </c>
      <c r="R121" s="152">
        <f t="shared" ref="R121" si="53">IF(F121&lt;=ExpH1,G121,0)+IF(H121&lt;=ExpH1,I121,0)+IF(J121&lt;=ExpH1,K121,0)+IF(L121&lt;=ExpH1,M121,0)+IF(N121&lt;=ExpH1,O121,0)</f>
        <v>0</v>
      </c>
      <c r="S121" s="152">
        <f t="shared" ref="S121" si="54">IF(F121&lt;=ExpQ3,G121,0)+IF(H121&lt;=ExpQ3,I121,0)+IF(J121&lt;=ExpQ3,K121,0)+IF(L121&lt;=ExpQ3,M121,0)+IF(N121&lt;=ExpQ3,O121,0)</f>
        <v>0</v>
      </c>
      <c r="T121" s="18">
        <f t="shared" ref="T121" si="55">G121+I121+K121+M121+O121</f>
        <v>0.53</v>
      </c>
    </row>
    <row r="122" spans="2:20" x14ac:dyDescent="0.25">
      <c r="B122" s="117" t="s">
        <v>810</v>
      </c>
      <c r="C122" s="136" t="s">
        <v>811</v>
      </c>
      <c r="D122" s="14" t="s">
        <v>15</v>
      </c>
      <c r="E122" s="14" t="s">
        <v>16</v>
      </c>
      <c r="F122" s="15">
        <v>44313</v>
      </c>
      <c r="G122" s="16">
        <v>2.5</v>
      </c>
      <c r="H122" s="15">
        <v>44425</v>
      </c>
      <c r="I122" s="16">
        <v>1</v>
      </c>
      <c r="J122" s="15"/>
      <c r="K122" s="16"/>
      <c r="L122" s="15"/>
      <c r="M122" s="63"/>
      <c r="N122" s="17"/>
      <c r="O122" s="16"/>
      <c r="P122" s="16"/>
      <c r="Q122" s="152">
        <f t="shared" ref="Q122" si="56">IF(F122&lt;=ExpQ1,G122,0)+IF(H122&lt;=ExpQ1,I122,0)+IF(J122&lt;=ExpQ1,K122,0)+IF(L122&lt;=ExpQ1,M122,0)+IF(N122&lt;=ExpQ1,O122,0)</f>
        <v>0</v>
      </c>
      <c r="R122" s="152">
        <f t="shared" ref="R122" si="57">IF(F122&lt;=ExpH1,G122,0)+IF(H122&lt;=ExpH1,I122,0)+IF(J122&lt;=ExpH1,K122,0)+IF(L122&lt;=ExpH1,M122,0)+IF(N122&lt;=ExpH1,O122,0)</f>
        <v>2.5</v>
      </c>
      <c r="S122" s="152">
        <f t="shared" ref="S122" si="58">IF(F122&lt;=ExpQ3,G122,0)+IF(H122&lt;=ExpQ3,I122,0)+IF(J122&lt;=ExpQ3,K122,0)+IF(L122&lt;=ExpQ3,M122,0)+IF(N122&lt;=ExpQ3,O122,0)</f>
        <v>3.5</v>
      </c>
      <c r="T122" s="18">
        <f t="shared" ref="T122" si="59">G122+I122+K122+M122+O122</f>
        <v>3.5</v>
      </c>
    </row>
    <row r="123" spans="2:20" x14ac:dyDescent="0.25">
      <c r="B123" s="117" t="s">
        <v>229</v>
      </c>
      <c r="C123" s="136" t="s">
        <v>230</v>
      </c>
      <c r="D123" s="14" t="s">
        <v>15</v>
      </c>
      <c r="E123" s="14" t="s">
        <v>16</v>
      </c>
      <c r="F123" s="15">
        <v>44315</v>
      </c>
      <c r="G123" s="16">
        <v>1.1200000000000001</v>
      </c>
      <c r="H123" s="15"/>
      <c r="I123" s="16"/>
      <c r="J123" s="15"/>
      <c r="K123" s="16"/>
      <c r="L123" s="15"/>
      <c r="M123" s="63"/>
      <c r="N123" s="17"/>
      <c r="O123" s="16"/>
      <c r="P123" s="16"/>
      <c r="Q123" s="152">
        <f t="shared" si="30"/>
        <v>0</v>
      </c>
      <c r="R123" s="152">
        <f t="shared" si="31"/>
        <v>1.1200000000000001</v>
      </c>
      <c r="S123" s="152">
        <f t="shared" si="32"/>
        <v>1.1200000000000001</v>
      </c>
      <c r="T123" s="18">
        <f t="shared" si="33"/>
        <v>1.1200000000000001</v>
      </c>
    </row>
    <row r="124" spans="2:20" x14ac:dyDescent="0.25">
      <c r="B124" s="117" t="s">
        <v>231</v>
      </c>
      <c r="C124" s="136" t="s">
        <v>232</v>
      </c>
      <c r="D124" s="14" t="s">
        <v>15</v>
      </c>
      <c r="E124" s="14" t="s">
        <v>16</v>
      </c>
      <c r="F124" s="46">
        <v>44341</v>
      </c>
      <c r="G124" s="47">
        <v>0.88</v>
      </c>
      <c r="H124" s="46"/>
      <c r="I124" s="47"/>
      <c r="J124" s="46"/>
      <c r="K124" s="47"/>
      <c r="L124" s="46"/>
      <c r="M124" s="80"/>
      <c r="N124" s="48"/>
      <c r="O124" s="47"/>
      <c r="P124" s="47"/>
      <c r="Q124" s="152">
        <f t="shared" si="30"/>
        <v>0</v>
      </c>
      <c r="R124" s="152">
        <f t="shared" si="31"/>
        <v>0.88</v>
      </c>
      <c r="S124" s="152">
        <f t="shared" si="32"/>
        <v>0.88</v>
      </c>
      <c r="T124" s="18">
        <f t="shared" si="33"/>
        <v>0.88</v>
      </c>
    </row>
    <row r="125" spans="2:20" x14ac:dyDescent="0.25">
      <c r="B125" s="117" t="s">
        <v>796</v>
      </c>
      <c r="C125" s="136" t="s">
        <v>797</v>
      </c>
      <c r="D125" s="14" t="s">
        <v>15</v>
      </c>
      <c r="E125" s="14" t="s">
        <v>56</v>
      </c>
      <c r="F125" s="46"/>
      <c r="G125" s="47"/>
      <c r="H125" s="46"/>
      <c r="I125" s="47"/>
      <c r="J125" s="46"/>
      <c r="K125" s="47"/>
      <c r="L125" s="46"/>
      <c r="M125" s="80"/>
      <c r="N125" s="48"/>
      <c r="O125" s="47"/>
      <c r="P125" s="47"/>
      <c r="Q125" s="152">
        <f t="shared" ref="Q125" si="60">IF(F125&lt;=ExpQ1,G125,0)+IF(H125&lt;=ExpQ1,I125,0)+IF(J125&lt;=ExpQ1,K125,0)+IF(L125&lt;=ExpQ1,M125,0)+IF(N125&lt;=ExpQ1,O125,0)</f>
        <v>0</v>
      </c>
      <c r="R125" s="152">
        <f t="shared" ref="R125" si="61">IF(F125&lt;=ExpH1,G125,0)+IF(H125&lt;=ExpH1,I125,0)+IF(J125&lt;=ExpH1,K125,0)+IF(L125&lt;=ExpH1,M125,0)+IF(N125&lt;=ExpH1,O125,0)</f>
        <v>0</v>
      </c>
      <c r="S125" s="152">
        <f t="shared" ref="S125" si="62">IF(F125&lt;=ExpQ3,G125,0)+IF(H125&lt;=ExpQ3,I125,0)+IF(J125&lt;=ExpQ3,K125,0)+IF(L125&lt;=ExpQ3,M125,0)+IF(N125&lt;=ExpQ3,O125,0)</f>
        <v>0</v>
      </c>
      <c r="T125" s="18">
        <f t="shared" ref="T125" si="63">G125+I125+K125+M125+O125</f>
        <v>0</v>
      </c>
    </row>
    <row r="126" spans="2:20" x14ac:dyDescent="0.25">
      <c r="B126" s="117" t="s">
        <v>233</v>
      </c>
      <c r="C126" s="136" t="s">
        <v>234</v>
      </c>
      <c r="D126" s="14" t="s">
        <v>15</v>
      </c>
      <c r="E126" s="14" t="s">
        <v>16</v>
      </c>
      <c r="F126" s="46"/>
      <c r="G126" s="47"/>
      <c r="H126" s="46"/>
      <c r="I126" s="47"/>
      <c r="J126" s="46"/>
      <c r="K126" s="47"/>
      <c r="L126" s="46"/>
      <c r="M126" s="80"/>
      <c r="N126" s="48"/>
      <c r="O126" s="47"/>
      <c r="P126" s="47"/>
      <c r="Q126" s="152">
        <f t="shared" si="30"/>
        <v>0</v>
      </c>
      <c r="R126" s="152">
        <f t="shared" si="31"/>
        <v>0</v>
      </c>
      <c r="S126" s="152">
        <f t="shared" si="32"/>
        <v>0</v>
      </c>
      <c r="T126" s="18">
        <f t="shared" si="33"/>
        <v>0</v>
      </c>
    </row>
    <row r="127" spans="2:20" x14ac:dyDescent="0.25">
      <c r="B127" s="117" t="s">
        <v>235</v>
      </c>
      <c r="C127" s="136" t="s">
        <v>236</v>
      </c>
      <c r="D127" s="14" t="s">
        <v>237</v>
      </c>
      <c r="E127" s="14" t="s">
        <v>16</v>
      </c>
      <c r="F127" s="15">
        <v>44334</v>
      </c>
      <c r="G127" s="16">
        <v>0.35</v>
      </c>
      <c r="H127" s="15">
        <v>44453</v>
      </c>
      <c r="I127" s="16">
        <v>0.25</v>
      </c>
      <c r="J127" s="15"/>
      <c r="K127" s="16"/>
      <c r="L127" s="15"/>
      <c r="M127" s="63"/>
      <c r="N127" s="17"/>
      <c r="O127" s="16"/>
      <c r="P127" s="16"/>
      <c r="Q127" s="152">
        <f t="shared" si="30"/>
        <v>0</v>
      </c>
      <c r="R127" s="152">
        <f t="shared" si="31"/>
        <v>0.35</v>
      </c>
      <c r="S127" s="152">
        <f t="shared" si="32"/>
        <v>0.6</v>
      </c>
      <c r="T127" s="18">
        <f t="shared" si="33"/>
        <v>0.6</v>
      </c>
    </row>
    <row r="128" spans="2:20" x14ac:dyDescent="0.25">
      <c r="B128" s="117" t="s">
        <v>623</v>
      </c>
      <c r="C128" s="136" t="s">
        <v>239</v>
      </c>
      <c r="D128" s="14" t="s">
        <v>15</v>
      </c>
      <c r="E128" s="14" t="s">
        <v>16</v>
      </c>
      <c r="F128" s="15">
        <v>44270</v>
      </c>
      <c r="G128" s="16">
        <v>0.63</v>
      </c>
      <c r="H128" s="15">
        <v>44410</v>
      </c>
      <c r="I128" s="16">
        <v>0.3</v>
      </c>
      <c r="J128" s="15">
        <v>44511</v>
      </c>
      <c r="K128" s="16">
        <v>0.4</v>
      </c>
      <c r="L128" s="15"/>
      <c r="M128" s="63"/>
      <c r="N128" s="17"/>
      <c r="O128" s="16"/>
      <c r="P128" s="16"/>
      <c r="Q128" s="152">
        <f t="shared" si="30"/>
        <v>0.63</v>
      </c>
      <c r="R128" s="152">
        <f t="shared" si="31"/>
        <v>0.63</v>
      </c>
      <c r="S128" s="152">
        <f t="shared" si="32"/>
        <v>0.92999999999999994</v>
      </c>
      <c r="T128" s="18">
        <f t="shared" si="33"/>
        <v>1.33</v>
      </c>
    </row>
    <row r="129" spans="2:20" x14ac:dyDescent="0.25">
      <c r="B129" s="117" t="s">
        <v>242</v>
      </c>
      <c r="C129" s="136" t="s">
        <v>243</v>
      </c>
      <c r="D129" s="14" t="s">
        <v>15</v>
      </c>
      <c r="E129" s="14" t="s">
        <v>21</v>
      </c>
      <c r="F129" s="15">
        <v>44302</v>
      </c>
      <c r="G129" s="16">
        <v>11.4</v>
      </c>
      <c r="H129" s="15"/>
      <c r="I129" s="16"/>
      <c r="J129" s="15"/>
      <c r="K129" s="16"/>
      <c r="L129" s="15"/>
      <c r="M129" s="63"/>
      <c r="N129" s="17"/>
      <c r="O129" s="16"/>
      <c r="P129" s="16"/>
      <c r="Q129" s="152">
        <f t="shared" si="30"/>
        <v>0</v>
      </c>
      <c r="R129" s="152">
        <f t="shared" si="31"/>
        <v>11.4</v>
      </c>
      <c r="S129" s="152">
        <f t="shared" si="32"/>
        <v>11.4</v>
      </c>
      <c r="T129" s="18">
        <f t="shared" si="33"/>
        <v>11.4</v>
      </c>
    </row>
    <row r="130" spans="2:20" x14ac:dyDescent="0.25">
      <c r="B130" s="117" t="s">
        <v>248</v>
      </c>
      <c r="C130" s="136" t="s">
        <v>249</v>
      </c>
      <c r="D130" s="14" t="s">
        <v>15</v>
      </c>
      <c r="E130" s="14" t="s">
        <v>21</v>
      </c>
      <c r="F130" s="15">
        <v>44284</v>
      </c>
      <c r="G130" s="16">
        <v>64</v>
      </c>
      <c r="H130" s="15"/>
      <c r="I130" s="16"/>
      <c r="J130" s="15"/>
      <c r="K130" s="16"/>
      <c r="L130" s="15"/>
      <c r="M130" s="16"/>
      <c r="N130" s="17"/>
      <c r="O130" s="16"/>
      <c r="P130" s="16"/>
      <c r="Q130" s="152">
        <f t="shared" si="30"/>
        <v>0</v>
      </c>
      <c r="R130" s="152">
        <f t="shared" si="31"/>
        <v>64</v>
      </c>
      <c r="S130" s="152">
        <f t="shared" si="32"/>
        <v>64</v>
      </c>
      <c r="T130" s="18">
        <f t="shared" si="33"/>
        <v>64</v>
      </c>
    </row>
    <row r="131" spans="2:20" x14ac:dyDescent="0.25">
      <c r="B131" s="117" t="s">
        <v>250</v>
      </c>
      <c r="C131" s="136" t="s">
        <v>251</v>
      </c>
      <c r="D131" s="14" t="s">
        <v>15</v>
      </c>
      <c r="E131" s="14" t="s">
        <v>761</v>
      </c>
      <c r="F131" s="15">
        <v>44245</v>
      </c>
      <c r="G131" s="16">
        <v>23</v>
      </c>
      <c r="H131" s="15">
        <v>44336</v>
      </c>
      <c r="I131" s="16">
        <v>19</v>
      </c>
      <c r="J131" s="15">
        <v>44427</v>
      </c>
      <c r="K131" s="16">
        <v>19</v>
      </c>
      <c r="L131" s="15">
        <v>44518</v>
      </c>
      <c r="M131" s="63">
        <v>19</v>
      </c>
      <c r="N131" s="17"/>
      <c r="O131" s="16"/>
      <c r="P131" s="16"/>
      <c r="Q131" s="152">
        <f t="shared" si="30"/>
        <v>23</v>
      </c>
      <c r="R131" s="152">
        <f t="shared" si="31"/>
        <v>42</v>
      </c>
      <c r="S131" s="152">
        <f t="shared" si="32"/>
        <v>61</v>
      </c>
      <c r="T131" s="18">
        <f t="shared" si="33"/>
        <v>80</v>
      </c>
    </row>
    <row r="132" spans="2:20" x14ac:dyDescent="0.25">
      <c r="B132" s="117" t="s">
        <v>252</v>
      </c>
      <c r="C132" s="136" t="s">
        <v>253</v>
      </c>
      <c r="D132" s="14" t="s">
        <v>15</v>
      </c>
      <c r="E132" s="14" t="s">
        <v>56</v>
      </c>
      <c r="F132" s="147">
        <v>44308</v>
      </c>
      <c r="G132" s="148">
        <f>0.06*0.99105559</f>
        <v>5.9463335399999998E-2</v>
      </c>
      <c r="H132" s="147">
        <v>44441</v>
      </c>
      <c r="I132" s="148">
        <f>0.06*0.99105559</f>
        <v>5.9463335399999998E-2</v>
      </c>
      <c r="J132" s="15"/>
      <c r="K132" s="16"/>
      <c r="L132" s="15"/>
      <c r="M132" s="16"/>
      <c r="N132" s="17"/>
      <c r="O132" s="16"/>
      <c r="P132" s="16"/>
      <c r="Q132" s="152">
        <f t="shared" si="30"/>
        <v>0</v>
      </c>
      <c r="R132" s="152">
        <f t="shared" si="31"/>
        <v>5.9463335399999998E-2</v>
      </c>
      <c r="S132" s="152">
        <f t="shared" si="32"/>
        <v>0.1189266708</v>
      </c>
      <c r="T132" s="18">
        <f t="shared" si="33"/>
        <v>0.1189266708</v>
      </c>
    </row>
    <row r="133" spans="2:20" x14ac:dyDescent="0.25">
      <c r="B133" s="117" t="s">
        <v>254</v>
      </c>
      <c r="C133" s="136" t="s">
        <v>255</v>
      </c>
      <c r="D133" s="39" t="s">
        <v>27</v>
      </c>
      <c r="E133" s="39" t="s">
        <v>16</v>
      </c>
      <c r="F133" s="15">
        <v>44320</v>
      </c>
      <c r="G133" s="16">
        <v>2.5</v>
      </c>
      <c r="H133" s="15"/>
      <c r="I133" s="16"/>
      <c r="J133" s="15"/>
      <c r="K133" s="16"/>
      <c r="L133" s="15"/>
      <c r="M133" s="63"/>
      <c r="N133" s="17"/>
      <c r="O133" s="16"/>
      <c r="P133" s="16"/>
      <c r="Q133" s="152">
        <f t="shared" si="30"/>
        <v>0</v>
      </c>
      <c r="R133" s="152">
        <f t="shared" si="31"/>
        <v>2.5</v>
      </c>
      <c r="S133" s="152">
        <f t="shared" si="32"/>
        <v>2.5</v>
      </c>
      <c r="T133" s="18">
        <f t="shared" si="33"/>
        <v>2.5</v>
      </c>
    </row>
    <row r="134" spans="2:20" x14ac:dyDescent="0.25">
      <c r="B134" s="117" t="s">
        <v>256</v>
      </c>
      <c r="C134" s="136" t="s">
        <v>257</v>
      </c>
      <c r="D134" s="39" t="s">
        <v>15</v>
      </c>
      <c r="E134" s="39" t="s">
        <v>16</v>
      </c>
      <c r="F134" s="15">
        <v>44312</v>
      </c>
      <c r="G134" s="16">
        <v>0.7</v>
      </c>
      <c r="H134" s="15">
        <v>44412</v>
      </c>
      <c r="I134" s="16">
        <v>0.28000000000000003</v>
      </c>
      <c r="J134" s="15"/>
      <c r="K134" s="16"/>
      <c r="L134" s="15"/>
      <c r="M134" s="63"/>
      <c r="N134" s="17"/>
      <c r="O134" s="16"/>
      <c r="P134" s="16"/>
      <c r="Q134" s="152">
        <f t="shared" si="30"/>
        <v>0</v>
      </c>
      <c r="R134" s="152">
        <f t="shared" si="31"/>
        <v>0.7</v>
      </c>
      <c r="S134" s="152">
        <f t="shared" si="32"/>
        <v>0.98</v>
      </c>
      <c r="T134" s="18">
        <f t="shared" si="33"/>
        <v>0.98</v>
      </c>
    </row>
    <row r="135" spans="2:20" x14ac:dyDescent="0.25">
      <c r="B135" s="117" t="s">
        <v>258</v>
      </c>
      <c r="C135" s="136" t="s">
        <v>259</v>
      </c>
      <c r="D135" s="14" t="s">
        <v>15</v>
      </c>
      <c r="E135" s="14" t="s">
        <v>16</v>
      </c>
      <c r="F135" s="15">
        <v>44305</v>
      </c>
      <c r="G135" s="16">
        <v>1.85</v>
      </c>
      <c r="H135" s="15"/>
      <c r="I135" s="16"/>
      <c r="J135" s="15"/>
      <c r="K135" s="16"/>
      <c r="L135" s="15"/>
      <c r="M135" s="16"/>
      <c r="N135" s="17"/>
      <c r="O135" s="16"/>
      <c r="P135" s="16"/>
      <c r="Q135" s="152">
        <f t="shared" si="30"/>
        <v>0</v>
      </c>
      <c r="R135" s="152">
        <f t="shared" si="31"/>
        <v>1.85</v>
      </c>
      <c r="S135" s="152">
        <f t="shared" si="32"/>
        <v>1.85</v>
      </c>
      <c r="T135" s="18">
        <f t="shared" si="33"/>
        <v>1.85</v>
      </c>
    </row>
    <row r="136" spans="2:20" x14ac:dyDescent="0.25">
      <c r="B136" s="117" t="s">
        <v>260</v>
      </c>
      <c r="C136" s="136" t="s">
        <v>261</v>
      </c>
      <c r="D136" s="14" t="s">
        <v>15</v>
      </c>
      <c r="E136" s="14" t="s">
        <v>200</v>
      </c>
      <c r="F136" s="15">
        <v>44498</v>
      </c>
      <c r="G136" s="16">
        <v>6.5</v>
      </c>
      <c r="H136" s="15"/>
      <c r="I136" s="16"/>
      <c r="J136" s="15"/>
      <c r="K136" s="16"/>
      <c r="L136" s="15"/>
      <c r="M136" s="63"/>
      <c r="N136" s="17"/>
      <c r="O136" s="16"/>
      <c r="P136" s="16"/>
      <c r="Q136" s="152">
        <f t="shared" si="30"/>
        <v>0</v>
      </c>
      <c r="R136" s="152">
        <f t="shared" si="31"/>
        <v>0</v>
      </c>
      <c r="S136" s="152">
        <f t="shared" si="32"/>
        <v>0</v>
      </c>
      <c r="T136" s="18">
        <f t="shared" si="33"/>
        <v>6.5</v>
      </c>
    </row>
    <row r="137" spans="2:20" x14ac:dyDescent="0.25">
      <c r="B137" s="117" t="s">
        <v>626</v>
      </c>
      <c r="C137" s="136" t="s">
        <v>627</v>
      </c>
      <c r="D137" s="14" t="s">
        <v>24</v>
      </c>
      <c r="E137" s="14" t="s">
        <v>16</v>
      </c>
      <c r="F137" s="15">
        <v>44257</v>
      </c>
      <c r="G137" s="16">
        <v>1.5</v>
      </c>
      <c r="H137" s="15">
        <v>44322</v>
      </c>
      <c r="I137" s="16">
        <v>3.05</v>
      </c>
      <c r="J137" s="15"/>
      <c r="K137" s="16"/>
      <c r="L137" s="15"/>
      <c r="M137" s="63"/>
      <c r="N137" s="17"/>
      <c r="O137" s="16"/>
      <c r="P137" s="16"/>
      <c r="Q137" s="152">
        <f t="shared" si="30"/>
        <v>1.5</v>
      </c>
      <c r="R137" s="152">
        <f t="shared" si="31"/>
        <v>4.55</v>
      </c>
      <c r="S137" s="152">
        <f t="shared" si="32"/>
        <v>4.55</v>
      </c>
      <c r="T137" s="18">
        <f t="shared" si="33"/>
        <v>4.55</v>
      </c>
    </row>
    <row r="138" spans="2:20" x14ac:dyDescent="0.25">
      <c r="B138" s="117" t="s">
        <v>264</v>
      </c>
      <c r="C138" s="136" t="s">
        <v>265</v>
      </c>
      <c r="D138" s="45" t="s">
        <v>15</v>
      </c>
      <c r="E138" s="45" t="s">
        <v>56</v>
      </c>
      <c r="F138" s="15">
        <v>44266</v>
      </c>
      <c r="G138" s="16">
        <v>0.15</v>
      </c>
      <c r="H138" s="15">
        <v>44427</v>
      </c>
      <c r="I138" s="16">
        <v>7.0000000000000007E-2</v>
      </c>
      <c r="J138" s="15"/>
      <c r="K138" s="16"/>
      <c r="L138" s="15"/>
      <c r="M138" s="16"/>
      <c r="N138" s="17"/>
      <c r="O138" s="16"/>
      <c r="P138" s="16"/>
      <c r="Q138" s="152">
        <f t="shared" si="30"/>
        <v>0.15</v>
      </c>
      <c r="R138" s="152">
        <f t="shared" si="31"/>
        <v>0.15</v>
      </c>
      <c r="S138" s="152">
        <f t="shared" si="32"/>
        <v>0.22</v>
      </c>
      <c r="T138" s="18">
        <f t="shared" si="33"/>
        <v>0.22</v>
      </c>
    </row>
    <row r="139" spans="2:20" x14ac:dyDescent="0.25">
      <c r="B139" s="117" t="s">
        <v>266</v>
      </c>
      <c r="C139" s="136" t="s">
        <v>267</v>
      </c>
      <c r="D139" s="14" t="s">
        <v>15</v>
      </c>
      <c r="E139" s="14" t="s">
        <v>16</v>
      </c>
      <c r="F139" s="15">
        <v>44208</v>
      </c>
      <c r="G139" s="16">
        <v>0.16800000000000001</v>
      </c>
      <c r="H139" s="15">
        <v>44385</v>
      </c>
      <c r="I139" s="16">
        <v>0.254</v>
      </c>
      <c r="J139" s="15"/>
      <c r="K139" s="16"/>
      <c r="L139" s="15"/>
      <c r="M139" s="16"/>
      <c r="N139" s="17"/>
      <c r="O139" s="16"/>
      <c r="P139" s="16"/>
      <c r="Q139" s="152">
        <f t="shared" si="30"/>
        <v>0.16800000000000001</v>
      </c>
      <c r="R139" s="152">
        <f t="shared" si="31"/>
        <v>0.16800000000000001</v>
      </c>
      <c r="S139" s="152">
        <f t="shared" si="32"/>
        <v>0.42200000000000004</v>
      </c>
      <c r="T139" s="18">
        <f t="shared" si="33"/>
        <v>0.42200000000000004</v>
      </c>
    </row>
    <row r="140" spans="2:20" x14ac:dyDescent="0.25">
      <c r="B140" s="117" t="s">
        <v>268</v>
      </c>
      <c r="C140" s="136" t="s">
        <v>269</v>
      </c>
      <c r="D140" s="14" t="s">
        <v>15</v>
      </c>
      <c r="E140" s="14" t="s">
        <v>761</v>
      </c>
      <c r="F140" s="15">
        <v>44245</v>
      </c>
      <c r="G140" s="16">
        <v>48.01</v>
      </c>
      <c r="H140" s="15">
        <v>44343</v>
      </c>
      <c r="I140" s="16">
        <v>21.06</v>
      </c>
      <c r="J140" s="15">
        <v>44427</v>
      </c>
      <c r="K140" s="16">
        <v>21.06</v>
      </c>
      <c r="L140" s="15">
        <v>44525</v>
      </c>
      <c r="M140" s="16">
        <v>48.48</v>
      </c>
      <c r="N140" s="17"/>
      <c r="O140" s="16"/>
      <c r="P140" s="16"/>
      <c r="Q140" s="152">
        <f t="shared" si="30"/>
        <v>48.01</v>
      </c>
      <c r="R140" s="152">
        <f t="shared" si="31"/>
        <v>69.069999999999993</v>
      </c>
      <c r="S140" s="152">
        <f t="shared" si="32"/>
        <v>90.13</v>
      </c>
      <c r="T140" s="18">
        <f t="shared" si="33"/>
        <v>138.60999999999999</v>
      </c>
    </row>
    <row r="141" spans="2:20" x14ac:dyDescent="0.25">
      <c r="B141" s="117" t="s">
        <v>270</v>
      </c>
      <c r="C141" s="136" t="s">
        <v>271</v>
      </c>
      <c r="D141" s="14" t="s">
        <v>15</v>
      </c>
      <c r="E141" s="14" t="s">
        <v>16</v>
      </c>
      <c r="F141" s="147">
        <v>44315</v>
      </c>
      <c r="G141" s="148">
        <f>0.22*0.99560662*0.98872786</f>
        <v>0.21656448061477529</v>
      </c>
      <c r="H141" s="15"/>
      <c r="I141" s="16"/>
      <c r="J141" s="15"/>
      <c r="K141" s="16"/>
      <c r="L141" s="15"/>
      <c r="M141" s="16"/>
      <c r="N141" s="17"/>
      <c r="O141" s="16"/>
      <c r="P141" s="16"/>
      <c r="Q141" s="152">
        <f t="shared" si="30"/>
        <v>0</v>
      </c>
      <c r="R141" s="152">
        <f t="shared" si="31"/>
        <v>0.21656448061477529</v>
      </c>
      <c r="S141" s="152">
        <f t="shared" si="32"/>
        <v>0.21656448061477529</v>
      </c>
      <c r="T141" s="18">
        <f t="shared" si="33"/>
        <v>0.21656448061477529</v>
      </c>
    </row>
    <row r="142" spans="2:20" x14ac:dyDescent="0.25">
      <c r="B142" s="117" t="s">
        <v>273</v>
      </c>
      <c r="C142" s="136" t="s">
        <v>274</v>
      </c>
      <c r="D142" s="14" t="s">
        <v>15</v>
      </c>
      <c r="E142" s="14" t="s">
        <v>16</v>
      </c>
      <c r="F142" s="15">
        <v>44243</v>
      </c>
      <c r="G142" s="16">
        <v>0.12</v>
      </c>
      <c r="H142" s="15">
        <v>44473</v>
      </c>
      <c r="I142" s="16">
        <v>0.48</v>
      </c>
      <c r="J142" s="15"/>
      <c r="K142" s="16"/>
      <c r="L142" s="15"/>
      <c r="M142" s="16"/>
      <c r="N142" s="17"/>
      <c r="O142" s="16"/>
      <c r="P142" s="16"/>
      <c r="Q142" s="152">
        <f t="shared" si="30"/>
        <v>0.12</v>
      </c>
      <c r="R142" s="152">
        <f t="shared" si="31"/>
        <v>0.12</v>
      </c>
      <c r="S142" s="152">
        <f t="shared" si="32"/>
        <v>0.12</v>
      </c>
      <c r="T142" s="18">
        <f t="shared" si="33"/>
        <v>0.6</v>
      </c>
    </row>
    <row r="143" spans="2:20" x14ac:dyDescent="0.25">
      <c r="B143" s="117" t="s">
        <v>276</v>
      </c>
      <c r="C143" s="136" t="s">
        <v>277</v>
      </c>
      <c r="D143" s="14" t="s">
        <v>15</v>
      </c>
      <c r="E143" s="14" t="s">
        <v>16</v>
      </c>
      <c r="F143" s="15">
        <v>44340</v>
      </c>
      <c r="G143" s="16">
        <v>3.5700000000000003E-2</v>
      </c>
      <c r="H143" s="15">
        <v>44487</v>
      </c>
      <c r="I143" s="16">
        <v>9.9599999999999994E-2</v>
      </c>
      <c r="J143" s="15">
        <v>44522</v>
      </c>
      <c r="K143" s="16">
        <v>7.2099999999999997E-2</v>
      </c>
      <c r="L143" s="15"/>
      <c r="M143" s="16"/>
      <c r="N143" s="17"/>
      <c r="O143" s="16"/>
      <c r="P143" s="16"/>
      <c r="Q143" s="152">
        <f t="shared" si="30"/>
        <v>0</v>
      </c>
      <c r="R143" s="152">
        <f t="shared" si="31"/>
        <v>3.5700000000000003E-2</v>
      </c>
      <c r="S143" s="152">
        <f t="shared" si="32"/>
        <v>3.5700000000000003E-2</v>
      </c>
      <c r="T143" s="18">
        <f t="shared" si="33"/>
        <v>0.2074</v>
      </c>
    </row>
    <row r="144" spans="2:20" x14ac:dyDescent="0.25">
      <c r="B144" s="117" t="s">
        <v>278</v>
      </c>
      <c r="C144" s="136" t="s">
        <v>279</v>
      </c>
      <c r="D144" s="14" t="s">
        <v>15</v>
      </c>
      <c r="E144" s="14" t="s">
        <v>16</v>
      </c>
      <c r="F144" s="15">
        <v>44340</v>
      </c>
      <c r="G144" s="16">
        <v>0.27700000000000002</v>
      </c>
      <c r="H144" s="15"/>
      <c r="I144" s="16"/>
      <c r="J144" s="15"/>
      <c r="K144" s="16"/>
      <c r="L144" s="15"/>
      <c r="M144" s="16"/>
      <c r="N144" s="17"/>
      <c r="O144" s="16"/>
      <c r="P144" s="16"/>
      <c r="Q144" s="152">
        <f t="shared" si="30"/>
        <v>0</v>
      </c>
      <c r="R144" s="152">
        <f t="shared" si="31"/>
        <v>0.27700000000000002</v>
      </c>
      <c r="S144" s="152">
        <f t="shared" si="32"/>
        <v>0.27700000000000002</v>
      </c>
      <c r="T144" s="18">
        <f t="shared" si="33"/>
        <v>0.27700000000000002</v>
      </c>
    </row>
    <row r="145" spans="2:20" x14ac:dyDescent="0.25">
      <c r="B145" s="117" t="s">
        <v>751</v>
      </c>
      <c r="C145" s="136" t="s">
        <v>752</v>
      </c>
      <c r="D145" s="14" t="s">
        <v>237</v>
      </c>
      <c r="E145" s="14" t="s">
        <v>16</v>
      </c>
      <c r="F145" s="15">
        <v>44320</v>
      </c>
      <c r="G145" s="16">
        <v>0.28799999999999998</v>
      </c>
      <c r="H145" s="15"/>
      <c r="I145" s="16"/>
      <c r="J145" s="15"/>
      <c r="K145" s="16"/>
      <c r="L145" s="15"/>
      <c r="M145" s="16"/>
      <c r="N145" s="17"/>
      <c r="O145" s="16"/>
      <c r="P145" s="16"/>
      <c r="Q145" s="152">
        <f t="shared" ref="Q145" si="64">IF(F145&lt;=ExpQ1,G145,0)+IF(H145&lt;=ExpQ1,I145,0)+IF(J145&lt;=ExpQ1,K145,0)+IF(L145&lt;=ExpQ1,M145,0)+IF(N145&lt;=ExpQ1,O145,0)</f>
        <v>0</v>
      </c>
      <c r="R145" s="152">
        <f t="shared" ref="R145" si="65">IF(F145&lt;=ExpH1,G145,0)+IF(H145&lt;=ExpH1,I145,0)+IF(J145&lt;=ExpH1,K145,0)+IF(L145&lt;=ExpH1,M145,0)+IF(N145&lt;=ExpH1,O145,0)</f>
        <v>0.28799999999999998</v>
      </c>
      <c r="S145" s="152">
        <f t="shared" ref="S145" si="66">IF(F145&lt;=ExpQ3,G145,0)+IF(H145&lt;=ExpQ3,I145,0)+IF(J145&lt;=ExpQ3,K145,0)+IF(L145&lt;=ExpQ3,M145,0)+IF(N145&lt;=ExpQ3,O145,0)</f>
        <v>0.28799999999999998</v>
      </c>
      <c r="T145" s="18">
        <f t="shared" si="33"/>
        <v>0.28799999999999998</v>
      </c>
    </row>
    <row r="146" spans="2:20" x14ac:dyDescent="0.25">
      <c r="B146" s="117" t="s">
        <v>284</v>
      </c>
      <c r="C146" s="136" t="s">
        <v>285</v>
      </c>
      <c r="D146" s="14" t="s">
        <v>15</v>
      </c>
      <c r="E146" s="14" t="s">
        <v>21</v>
      </c>
      <c r="F146" s="15">
        <v>44302</v>
      </c>
      <c r="G146" s="16">
        <v>1.75</v>
      </c>
      <c r="H146" s="15"/>
      <c r="I146" s="16"/>
      <c r="J146" s="15"/>
      <c r="K146" s="16"/>
      <c r="L146" s="15"/>
      <c r="M146" s="16"/>
      <c r="N146" s="17"/>
      <c r="O146" s="16"/>
      <c r="P146" s="16"/>
      <c r="Q146" s="152">
        <f t="shared" si="30"/>
        <v>0</v>
      </c>
      <c r="R146" s="152">
        <f t="shared" si="31"/>
        <v>1.75</v>
      </c>
      <c r="S146" s="152">
        <f t="shared" si="32"/>
        <v>1.75</v>
      </c>
      <c r="T146" s="18">
        <f t="shared" si="33"/>
        <v>1.75</v>
      </c>
    </row>
    <row r="147" spans="2:20" x14ac:dyDescent="0.25">
      <c r="B147" s="12" t="s">
        <v>286</v>
      </c>
      <c r="C147" s="136" t="s">
        <v>287</v>
      </c>
      <c r="D147" s="14" t="s">
        <v>15</v>
      </c>
      <c r="E147" s="14" t="s">
        <v>16</v>
      </c>
      <c r="F147" s="15"/>
      <c r="G147" s="16"/>
      <c r="H147" s="15"/>
      <c r="I147" s="16"/>
      <c r="J147" s="15"/>
      <c r="K147" s="16"/>
      <c r="L147" s="15"/>
      <c r="M147" s="16"/>
      <c r="N147" s="17"/>
      <c r="O147" s="16"/>
      <c r="P147" s="16"/>
      <c r="Q147" s="152">
        <f t="shared" si="30"/>
        <v>0</v>
      </c>
      <c r="R147" s="152">
        <f t="shared" si="31"/>
        <v>0</v>
      </c>
      <c r="S147" s="152">
        <f t="shared" si="32"/>
        <v>0</v>
      </c>
      <c r="T147" s="18">
        <f t="shared" si="33"/>
        <v>0</v>
      </c>
    </row>
    <row r="148" spans="2:20" x14ac:dyDescent="0.25">
      <c r="B148" s="117" t="s">
        <v>288</v>
      </c>
      <c r="C148" s="136" t="s">
        <v>289</v>
      </c>
      <c r="D148" s="14" t="s">
        <v>27</v>
      </c>
      <c r="E148" s="14" t="s">
        <v>16</v>
      </c>
      <c r="F148" s="15">
        <v>44333</v>
      </c>
      <c r="G148" s="16">
        <v>0.44</v>
      </c>
      <c r="H148" s="15">
        <v>44515</v>
      </c>
      <c r="I148" s="16">
        <v>3</v>
      </c>
      <c r="J148" s="15"/>
      <c r="K148" s="16"/>
      <c r="L148" s="15"/>
      <c r="M148" s="16"/>
      <c r="N148" s="17"/>
      <c r="O148" s="16"/>
      <c r="P148" s="16"/>
      <c r="Q148" s="152">
        <f t="shared" si="30"/>
        <v>0</v>
      </c>
      <c r="R148" s="152">
        <f t="shared" si="31"/>
        <v>0.44</v>
      </c>
      <c r="S148" s="152">
        <f t="shared" si="32"/>
        <v>0.44</v>
      </c>
      <c r="T148" s="18">
        <f t="shared" si="33"/>
        <v>3.44</v>
      </c>
    </row>
    <row r="149" spans="2:20" x14ac:dyDescent="0.25">
      <c r="B149" s="117" t="s">
        <v>290</v>
      </c>
      <c r="C149" s="136" t="s">
        <v>291</v>
      </c>
      <c r="D149" s="14" t="s">
        <v>24</v>
      </c>
      <c r="E149" s="14" t="s">
        <v>16</v>
      </c>
      <c r="F149" s="15">
        <v>44215</v>
      </c>
      <c r="G149" s="16">
        <v>2.5</v>
      </c>
      <c r="H149" s="15">
        <v>44320</v>
      </c>
      <c r="I149" s="16">
        <v>5.5</v>
      </c>
      <c r="J149" s="15"/>
      <c r="K149" s="16"/>
      <c r="L149" s="15"/>
      <c r="M149" s="16"/>
      <c r="N149" s="17"/>
      <c r="O149" s="16"/>
      <c r="P149" s="16"/>
      <c r="Q149" s="152">
        <f t="shared" si="30"/>
        <v>2.5</v>
      </c>
      <c r="R149" s="152">
        <f t="shared" si="31"/>
        <v>8</v>
      </c>
      <c r="S149" s="152">
        <f t="shared" si="32"/>
        <v>8</v>
      </c>
      <c r="T149" s="18">
        <f t="shared" si="33"/>
        <v>8</v>
      </c>
    </row>
    <row r="150" spans="2:20" x14ac:dyDescent="0.25">
      <c r="B150" s="117" t="s">
        <v>292</v>
      </c>
      <c r="C150" s="136" t="s">
        <v>293</v>
      </c>
      <c r="D150" s="14" t="s">
        <v>15</v>
      </c>
      <c r="E150" s="14" t="s">
        <v>16</v>
      </c>
      <c r="F150" s="15">
        <v>44299</v>
      </c>
      <c r="G150" s="16">
        <v>0.38</v>
      </c>
      <c r="H150" s="15">
        <v>44469</v>
      </c>
      <c r="I150" s="16">
        <v>0.37</v>
      </c>
      <c r="J150" s="15"/>
      <c r="K150" s="16"/>
      <c r="L150" s="15"/>
      <c r="M150" s="16"/>
      <c r="N150" s="17"/>
      <c r="O150" s="16"/>
      <c r="P150" s="16"/>
      <c r="Q150" s="152">
        <f t="shared" si="30"/>
        <v>0</v>
      </c>
      <c r="R150" s="152">
        <f t="shared" si="31"/>
        <v>0.38</v>
      </c>
      <c r="S150" s="152">
        <f t="shared" si="32"/>
        <v>0.38</v>
      </c>
      <c r="T150" s="18">
        <f t="shared" si="33"/>
        <v>0.75</v>
      </c>
    </row>
    <row r="151" spans="2:20" x14ac:dyDescent="0.25">
      <c r="B151" s="117" t="s">
        <v>294</v>
      </c>
      <c r="C151" s="136" t="s">
        <v>295</v>
      </c>
      <c r="D151" s="14" t="s">
        <v>15</v>
      </c>
      <c r="E151" s="14" t="s">
        <v>200</v>
      </c>
      <c r="F151" s="15"/>
      <c r="G151" s="16"/>
      <c r="H151" s="15"/>
      <c r="I151" s="16"/>
      <c r="J151" s="15"/>
      <c r="K151" s="16"/>
      <c r="L151" s="15"/>
      <c r="M151" s="16"/>
      <c r="N151" s="17"/>
      <c r="O151" s="16"/>
      <c r="P151" s="16"/>
      <c r="Q151" s="152">
        <f t="shared" si="30"/>
        <v>0</v>
      </c>
      <c r="R151" s="152">
        <f t="shared" si="31"/>
        <v>0</v>
      </c>
      <c r="S151" s="152">
        <f t="shared" si="32"/>
        <v>0</v>
      </c>
      <c r="T151" s="18">
        <f t="shared" si="33"/>
        <v>0</v>
      </c>
    </row>
    <row r="152" spans="2:20" x14ac:dyDescent="0.25">
      <c r="B152" s="117" t="s">
        <v>688</v>
      </c>
      <c r="C152" s="136" t="s">
        <v>689</v>
      </c>
      <c r="D152" s="14" t="s">
        <v>24</v>
      </c>
      <c r="E152" s="14" t="s">
        <v>16</v>
      </c>
      <c r="F152" s="15">
        <v>44368</v>
      </c>
      <c r="G152" s="16">
        <v>1</v>
      </c>
      <c r="H152" s="15"/>
      <c r="I152" s="16"/>
      <c r="J152" s="15"/>
      <c r="K152" s="16"/>
      <c r="L152" s="15"/>
      <c r="M152" s="16"/>
      <c r="N152" s="17"/>
      <c r="O152" s="16"/>
      <c r="P152" s="16"/>
      <c r="Q152" s="152">
        <f t="shared" si="30"/>
        <v>0</v>
      </c>
      <c r="R152" s="152">
        <f t="shared" si="31"/>
        <v>0</v>
      </c>
      <c r="S152" s="152">
        <f t="shared" si="32"/>
        <v>1</v>
      </c>
      <c r="T152" s="18">
        <f t="shared" si="33"/>
        <v>1</v>
      </c>
    </row>
    <row r="153" spans="2:20" x14ac:dyDescent="0.25">
      <c r="B153" s="117" t="s">
        <v>296</v>
      </c>
      <c r="C153" s="136" t="s">
        <v>297</v>
      </c>
      <c r="D153" s="14" t="s">
        <v>15</v>
      </c>
      <c r="E153" s="14" t="s">
        <v>16</v>
      </c>
      <c r="F153" s="15">
        <v>44302</v>
      </c>
      <c r="G153" s="16">
        <v>8.6999999999999994E-2</v>
      </c>
      <c r="H153" s="46">
        <v>44406</v>
      </c>
      <c r="I153" s="47">
        <v>4.4999999999999998E-2</v>
      </c>
      <c r="J153" s="46"/>
      <c r="K153" s="47"/>
      <c r="L153" s="46"/>
      <c r="M153" s="47"/>
      <c r="N153" s="48"/>
      <c r="O153" s="47"/>
      <c r="P153" s="47"/>
      <c r="Q153" s="152">
        <f t="shared" si="30"/>
        <v>0</v>
      </c>
      <c r="R153" s="152">
        <f t="shared" si="31"/>
        <v>8.6999999999999994E-2</v>
      </c>
      <c r="S153" s="152">
        <f t="shared" si="32"/>
        <v>0.13200000000000001</v>
      </c>
      <c r="T153" s="18">
        <f t="shared" si="33"/>
        <v>0.13200000000000001</v>
      </c>
    </row>
    <row r="154" spans="2:20" x14ac:dyDescent="0.25">
      <c r="B154" s="117" t="s">
        <v>768</v>
      </c>
      <c r="C154" s="136" t="s">
        <v>299</v>
      </c>
      <c r="D154" s="14" t="s">
        <v>15</v>
      </c>
      <c r="E154" s="14" t="s">
        <v>21</v>
      </c>
      <c r="F154" s="15">
        <v>44323</v>
      </c>
      <c r="G154" s="16">
        <v>2</v>
      </c>
      <c r="H154" s="15"/>
      <c r="I154" s="16"/>
      <c r="J154" s="15"/>
      <c r="K154" s="16"/>
      <c r="L154" s="15"/>
      <c r="M154" s="16"/>
      <c r="N154" s="17"/>
      <c r="O154" s="16"/>
      <c r="P154" s="16"/>
      <c r="Q154" s="152">
        <f t="shared" si="30"/>
        <v>0</v>
      </c>
      <c r="R154" s="152">
        <f t="shared" si="31"/>
        <v>2</v>
      </c>
      <c r="S154" s="152">
        <f t="shared" si="32"/>
        <v>2</v>
      </c>
      <c r="T154" s="18">
        <f t="shared" si="33"/>
        <v>2</v>
      </c>
    </row>
    <row r="155" spans="2:20" x14ac:dyDescent="0.25">
      <c r="B155" s="117" t="s">
        <v>300</v>
      </c>
      <c r="C155" s="136" t="s">
        <v>301</v>
      </c>
      <c r="D155" s="14" t="s">
        <v>24</v>
      </c>
      <c r="E155" s="14" t="s">
        <v>16</v>
      </c>
      <c r="F155" s="15"/>
      <c r="G155" s="16"/>
      <c r="H155" s="15"/>
      <c r="I155" s="16"/>
      <c r="J155" s="15"/>
      <c r="K155" s="16"/>
      <c r="L155" s="15"/>
      <c r="M155" s="16"/>
      <c r="N155" s="17"/>
      <c r="O155" s="16"/>
      <c r="P155" s="16"/>
      <c r="Q155" s="152">
        <f t="shared" si="30"/>
        <v>0</v>
      </c>
      <c r="R155" s="152">
        <f t="shared" si="31"/>
        <v>0</v>
      </c>
      <c r="S155" s="152">
        <f t="shared" si="32"/>
        <v>0</v>
      </c>
      <c r="T155" s="18">
        <f t="shared" si="33"/>
        <v>0</v>
      </c>
    </row>
    <row r="156" spans="2:20" x14ac:dyDescent="0.25">
      <c r="B156" s="117" t="s">
        <v>302</v>
      </c>
      <c r="C156" s="136" t="s">
        <v>303</v>
      </c>
      <c r="D156" s="14" t="s">
        <v>15</v>
      </c>
      <c r="E156" s="14" t="s">
        <v>761</v>
      </c>
      <c r="F156" s="15">
        <v>44301</v>
      </c>
      <c r="G156" s="16">
        <v>12.64</v>
      </c>
      <c r="H156" s="15">
        <v>44420</v>
      </c>
      <c r="I156" s="16">
        <v>5.18</v>
      </c>
      <c r="J156" s="15"/>
      <c r="K156" s="16"/>
      <c r="L156" s="15"/>
      <c r="M156" s="16"/>
      <c r="N156" s="17"/>
      <c r="O156" s="16"/>
      <c r="P156" s="16"/>
      <c r="Q156" s="152">
        <f t="shared" si="30"/>
        <v>0</v>
      </c>
      <c r="R156" s="152">
        <f t="shared" si="31"/>
        <v>12.64</v>
      </c>
      <c r="S156" s="152">
        <f t="shared" si="32"/>
        <v>17.82</v>
      </c>
      <c r="T156" s="18">
        <f t="shared" si="33"/>
        <v>17.82</v>
      </c>
    </row>
    <row r="157" spans="2:20" x14ac:dyDescent="0.25">
      <c r="B157" s="117" t="s">
        <v>304</v>
      </c>
      <c r="C157" s="136" t="s">
        <v>305</v>
      </c>
      <c r="D157" s="14" t="s">
        <v>24</v>
      </c>
      <c r="E157" s="14" t="s">
        <v>16</v>
      </c>
      <c r="F157" s="15">
        <v>44344</v>
      </c>
      <c r="G157" s="16">
        <v>1.42</v>
      </c>
      <c r="H157" s="15"/>
      <c r="I157" s="16"/>
      <c r="J157" s="15"/>
      <c r="K157" s="16"/>
      <c r="L157" s="15"/>
      <c r="M157" s="16"/>
      <c r="N157" s="17"/>
      <c r="O157" s="16"/>
      <c r="P157" s="16"/>
      <c r="Q157" s="152">
        <f t="shared" si="30"/>
        <v>0</v>
      </c>
      <c r="R157" s="152">
        <f t="shared" si="31"/>
        <v>1.42</v>
      </c>
      <c r="S157" s="152">
        <f t="shared" si="32"/>
        <v>1.42</v>
      </c>
      <c r="T157" s="18">
        <f t="shared" si="33"/>
        <v>1.42</v>
      </c>
    </row>
    <row r="158" spans="2:20" x14ac:dyDescent="0.25">
      <c r="B158" s="117" t="s">
        <v>749</v>
      </c>
      <c r="C158" s="136" t="s">
        <v>750</v>
      </c>
      <c r="D158" s="14" t="s">
        <v>15</v>
      </c>
      <c r="E158" s="14" t="s">
        <v>16</v>
      </c>
      <c r="F158" s="15"/>
      <c r="G158" s="16"/>
      <c r="H158" s="15"/>
      <c r="I158" s="16"/>
      <c r="J158" s="15"/>
      <c r="K158" s="16"/>
      <c r="L158" s="15"/>
      <c r="M158" s="16"/>
      <c r="N158" s="17"/>
      <c r="O158" s="16"/>
      <c r="P158" s="16"/>
      <c r="Q158" s="152">
        <f t="shared" ref="Q158" si="67">IF(F158&lt;=ExpQ1,G158,0)+IF(H158&lt;=ExpQ1,I158,0)+IF(J158&lt;=ExpQ1,K158,0)+IF(L158&lt;=ExpQ1,M158,0)+IF(N158&lt;=ExpQ1,O158,0)</f>
        <v>0</v>
      </c>
      <c r="R158" s="152">
        <f t="shared" ref="R158" si="68">IF(F158&lt;=ExpH1,G158,0)+IF(H158&lt;=ExpH1,I158,0)+IF(J158&lt;=ExpH1,K158,0)+IF(L158&lt;=ExpH1,M158,0)+IF(N158&lt;=ExpH1,O158,0)</f>
        <v>0</v>
      </c>
      <c r="S158" s="152">
        <f t="shared" ref="S158" si="69">IF(F158&lt;=ExpQ3,G158,0)+IF(H158&lt;=ExpQ3,I158,0)+IF(J158&lt;=ExpQ3,K158,0)+IF(L158&lt;=ExpQ3,M158,0)+IF(N158&lt;=ExpQ3,O158,0)</f>
        <v>0</v>
      </c>
      <c r="T158" s="18">
        <f t="shared" si="33"/>
        <v>0</v>
      </c>
    </row>
    <row r="159" spans="2:20" x14ac:dyDescent="0.25">
      <c r="B159" s="117" t="s">
        <v>634</v>
      </c>
      <c r="C159" s="136" t="s">
        <v>307</v>
      </c>
      <c r="D159" s="14" t="s">
        <v>15</v>
      </c>
      <c r="E159" s="14" t="s">
        <v>16</v>
      </c>
      <c r="F159" s="15">
        <v>44259</v>
      </c>
      <c r="G159" s="16">
        <f>1.06/1.2048</f>
        <v>0.8798140770252324</v>
      </c>
      <c r="H159" s="15">
        <v>44349</v>
      </c>
      <c r="I159" s="16">
        <f>1.06/1.2225</f>
        <v>0.86707566462167696</v>
      </c>
      <c r="J159" s="15">
        <v>44441</v>
      </c>
      <c r="K159" s="16">
        <f>1.06/1.1817</f>
        <v>0.89701277820089709</v>
      </c>
      <c r="L159" s="15">
        <v>44532</v>
      </c>
      <c r="M159" s="16">
        <f>1.06/1.1314</f>
        <v>0.93689234576630731</v>
      </c>
      <c r="N159" s="17"/>
      <c r="O159" s="16"/>
      <c r="P159" s="16"/>
      <c r="Q159" s="152">
        <f t="shared" si="30"/>
        <v>0.8798140770252324</v>
      </c>
      <c r="R159" s="152">
        <f t="shared" si="31"/>
        <v>1.7468897416469094</v>
      </c>
      <c r="S159" s="152">
        <f t="shared" si="32"/>
        <v>2.6439025198478063</v>
      </c>
      <c r="T159" s="18">
        <f t="shared" si="33"/>
        <v>3.5807948656141138</v>
      </c>
    </row>
    <row r="160" spans="2:20" x14ac:dyDescent="0.25">
      <c r="B160" s="117" t="s">
        <v>308</v>
      </c>
      <c r="C160" s="136" t="s">
        <v>309</v>
      </c>
      <c r="D160" s="14" t="s">
        <v>15</v>
      </c>
      <c r="E160" s="14" t="s">
        <v>761</v>
      </c>
      <c r="F160" s="15">
        <v>44301</v>
      </c>
      <c r="G160" s="16">
        <v>0.56999999999999995</v>
      </c>
      <c r="H160" s="15">
        <v>44413</v>
      </c>
      <c r="I160" s="16">
        <v>0.67</v>
      </c>
      <c r="J160" s="15"/>
      <c r="K160" s="16"/>
      <c r="L160" s="15"/>
      <c r="M160" s="16"/>
      <c r="N160" s="17"/>
      <c r="O160" s="16"/>
      <c r="P160" s="16"/>
      <c r="Q160" s="152">
        <f t="shared" si="30"/>
        <v>0</v>
      </c>
      <c r="R160" s="152">
        <f t="shared" si="31"/>
        <v>0.56999999999999995</v>
      </c>
      <c r="S160" s="152">
        <f t="shared" si="32"/>
        <v>1.24</v>
      </c>
      <c r="T160" s="18">
        <f t="shared" si="33"/>
        <v>1.24</v>
      </c>
    </row>
    <row r="161" spans="2:20" x14ac:dyDescent="0.25">
      <c r="B161" s="117" t="s">
        <v>310</v>
      </c>
      <c r="C161" s="136" t="s">
        <v>311</v>
      </c>
      <c r="D161" s="14" t="s">
        <v>24</v>
      </c>
      <c r="E161" s="14" t="s">
        <v>16</v>
      </c>
      <c r="F161" s="15">
        <v>44313</v>
      </c>
      <c r="G161" s="16">
        <v>4</v>
      </c>
      <c r="H161" s="15"/>
      <c r="I161" s="16"/>
      <c r="J161" s="15"/>
      <c r="K161" s="16"/>
      <c r="L161" s="15"/>
      <c r="M161" s="16"/>
      <c r="N161" s="17"/>
      <c r="O161" s="16"/>
      <c r="P161" s="16"/>
      <c r="Q161" s="152">
        <f t="shared" ref="Q161:Q238" si="70">IF(F161&lt;=ExpQ1,G161,0)+IF(H161&lt;=ExpQ1,I161,0)+IF(J161&lt;=ExpQ1,K161,0)+IF(L161&lt;=ExpQ1,M161,0)+IF(N161&lt;=ExpQ1,O161,0)</f>
        <v>0</v>
      </c>
      <c r="R161" s="152">
        <f t="shared" ref="R161:R238" si="71">IF(F161&lt;=ExpH1,G161,0)+IF(H161&lt;=ExpH1,I161,0)+IF(J161&lt;=ExpH1,K161,0)+IF(L161&lt;=ExpH1,M161,0)+IF(N161&lt;=ExpH1,O161,0)</f>
        <v>4</v>
      </c>
      <c r="S161" s="152">
        <f t="shared" ref="S161:S238" si="72">IF(F161&lt;=ExpQ3,G161,0)+IF(H161&lt;=ExpQ3,I161,0)+IF(J161&lt;=ExpQ3,K161,0)+IF(L161&lt;=ExpQ3,M161,0)+IF(N161&lt;=ExpQ3,O161,0)</f>
        <v>4</v>
      </c>
      <c r="T161" s="18">
        <f t="shared" ref="T161:T238" si="73">G161+I161+K161+M161+O161</f>
        <v>4</v>
      </c>
    </row>
    <row r="162" spans="2:20" x14ac:dyDescent="0.25">
      <c r="B162" s="117" t="s">
        <v>312</v>
      </c>
      <c r="C162" s="136" t="s">
        <v>313</v>
      </c>
      <c r="D162" s="14" t="s">
        <v>24</v>
      </c>
      <c r="E162" s="14" t="s">
        <v>16</v>
      </c>
      <c r="F162" s="15">
        <v>44306</v>
      </c>
      <c r="G162" s="16">
        <v>4</v>
      </c>
      <c r="H162" s="15">
        <v>44530</v>
      </c>
      <c r="I162" s="16">
        <v>3</v>
      </c>
      <c r="J162" s="15"/>
      <c r="K162" s="16"/>
      <c r="L162" s="15"/>
      <c r="M162" s="16"/>
      <c r="N162" s="17"/>
      <c r="O162" s="16"/>
      <c r="P162" s="16"/>
      <c r="Q162" s="152">
        <f t="shared" si="70"/>
        <v>0</v>
      </c>
      <c r="R162" s="152">
        <f t="shared" si="71"/>
        <v>4</v>
      </c>
      <c r="S162" s="152">
        <f t="shared" si="72"/>
        <v>4</v>
      </c>
      <c r="T162" s="18">
        <f t="shared" si="73"/>
        <v>7</v>
      </c>
    </row>
    <row r="163" spans="2:20" x14ac:dyDescent="0.25">
      <c r="B163" s="117" t="s">
        <v>314</v>
      </c>
      <c r="C163" s="136" t="s">
        <v>315</v>
      </c>
      <c r="D163" s="14" t="s">
        <v>15</v>
      </c>
      <c r="E163" s="14" t="s">
        <v>16</v>
      </c>
      <c r="F163" s="15">
        <v>44336</v>
      </c>
      <c r="G163" s="16">
        <v>7.5700000000000003E-2</v>
      </c>
      <c r="H163" s="15">
        <v>44526</v>
      </c>
      <c r="I163" s="16">
        <v>6.0600000000000001E-2</v>
      </c>
      <c r="J163" s="15"/>
      <c r="K163" s="16"/>
      <c r="L163" s="15"/>
      <c r="M163" s="16"/>
      <c r="N163" s="17"/>
      <c r="O163" s="16"/>
      <c r="P163" s="16"/>
      <c r="Q163" s="152">
        <f t="shared" si="70"/>
        <v>0</v>
      </c>
      <c r="R163" s="152">
        <f t="shared" si="71"/>
        <v>7.5700000000000003E-2</v>
      </c>
      <c r="S163" s="152">
        <f t="shared" si="72"/>
        <v>7.5700000000000003E-2</v>
      </c>
      <c r="T163" s="18">
        <f t="shared" si="73"/>
        <v>0.1363</v>
      </c>
    </row>
    <row r="164" spans="2:20" x14ac:dyDescent="0.25">
      <c r="B164" s="117" t="s">
        <v>798</v>
      </c>
      <c r="C164" s="136" t="s">
        <v>317</v>
      </c>
      <c r="D164" s="39" t="s">
        <v>15</v>
      </c>
      <c r="E164" s="39" t="s">
        <v>16</v>
      </c>
      <c r="F164" s="15"/>
      <c r="G164" s="16"/>
      <c r="H164" s="15"/>
      <c r="I164" s="16"/>
      <c r="J164" s="15"/>
      <c r="K164" s="16"/>
      <c r="L164" s="15"/>
      <c r="M164" s="16"/>
      <c r="N164" s="17"/>
      <c r="O164" s="16"/>
      <c r="P164" s="16"/>
      <c r="Q164" s="152">
        <f t="shared" si="70"/>
        <v>0</v>
      </c>
      <c r="R164" s="152">
        <f t="shared" si="71"/>
        <v>0</v>
      </c>
      <c r="S164" s="152">
        <f t="shared" si="72"/>
        <v>0</v>
      </c>
      <c r="T164" s="18">
        <f t="shared" si="73"/>
        <v>0</v>
      </c>
    </row>
    <row r="165" spans="2:20" x14ac:dyDescent="0.25">
      <c r="B165" s="117" t="s">
        <v>318</v>
      </c>
      <c r="C165" s="136" t="s">
        <v>319</v>
      </c>
      <c r="D165" s="14" t="s">
        <v>15</v>
      </c>
      <c r="E165" s="14" t="s">
        <v>16</v>
      </c>
      <c r="F165" s="15"/>
      <c r="G165" s="16"/>
      <c r="H165" s="15"/>
      <c r="I165" s="16"/>
      <c r="J165" s="15"/>
      <c r="K165" s="16"/>
      <c r="L165" s="15"/>
      <c r="M165" s="16"/>
      <c r="N165" s="17"/>
      <c r="O165" s="16"/>
      <c r="P165" s="16"/>
      <c r="Q165" s="152">
        <f t="shared" si="70"/>
        <v>0</v>
      </c>
      <c r="R165" s="152">
        <f t="shared" si="71"/>
        <v>0</v>
      </c>
      <c r="S165" s="152">
        <f t="shared" si="72"/>
        <v>0</v>
      </c>
      <c r="T165" s="18">
        <f t="shared" si="73"/>
        <v>0</v>
      </c>
    </row>
    <row r="166" spans="2:20" x14ac:dyDescent="0.25">
      <c r="B166" s="117" t="s">
        <v>320</v>
      </c>
      <c r="C166" s="136" t="s">
        <v>321</v>
      </c>
      <c r="D166" s="14" t="s">
        <v>15</v>
      </c>
      <c r="E166" s="14" t="s">
        <v>16</v>
      </c>
      <c r="F166" s="15">
        <v>44522</v>
      </c>
      <c r="G166" s="16">
        <v>0.66</v>
      </c>
      <c r="H166" s="15"/>
      <c r="I166" s="16"/>
      <c r="J166" s="15"/>
      <c r="K166" s="16"/>
      <c r="L166" s="15"/>
      <c r="M166" s="16"/>
      <c r="N166" s="17"/>
      <c r="O166" s="16"/>
      <c r="P166" s="16"/>
      <c r="Q166" s="152">
        <f t="shared" si="70"/>
        <v>0</v>
      </c>
      <c r="R166" s="152">
        <f t="shared" si="71"/>
        <v>0</v>
      </c>
      <c r="S166" s="152">
        <f t="shared" si="72"/>
        <v>0</v>
      </c>
      <c r="T166" s="18">
        <f t="shared" si="73"/>
        <v>0.66</v>
      </c>
    </row>
    <row r="167" spans="2:20" x14ac:dyDescent="0.25">
      <c r="B167" s="117" t="s">
        <v>322</v>
      </c>
      <c r="C167" s="136" t="s">
        <v>323</v>
      </c>
      <c r="D167" s="14" t="s">
        <v>15</v>
      </c>
      <c r="E167" s="14" t="s">
        <v>16</v>
      </c>
      <c r="F167" s="15">
        <v>44312</v>
      </c>
      <c r="G167" s="16">
        <v>1.4</v>
      </c>
      <c r="H167" s="15"/>
      <c r="I167" s="16"/>
      <c r="J167" s="15"/>
      <c r="K167" s="16"/>
      <c r="L167" s="15"/>
      <c r="M167" s="16"/>
      <c r="N167" s="17"/>
      <c r="O167" s="16"/>
      <c r="P167" s="16"/>
      <c r="Q167" s="152">
        <f t="shared" si="70"/>
        <v>0</v>
      </c>
      <c r="R167" s="152">
        <f t="shared" si="71"/>
        <v>1.4</v>
      </c>
      <c r="S167" s="152">
        <f t="shared" si="72"/>
        <v>1.4</v>
      </c>
      <c r="T167" s="18">
        <f t="shared" si="73"/>
        <v>1.4</v>
      </c>
    </row>
    <row r="168" spans="2:20" x14ac:dyDescent="0.25">
      <c r="B168" s="117" t="s">
        <v>610</v>
      </c>
      <c r="C168" s="136" t="s">
        <v>326</v>
      </c>
      <c r="D168" s="45" t="s">
        <v>15</v>
      </c>
      <c r="E168" s="45" t="s">
        <v>16</v>
      </c>
      <c r="F168" s="15"/>
      <c r="G168" s="16"/>
      <c r="H168" s="15"/>
      <c r="I168" s="16"/>
      <c r="J168" s="15"/>
      <c r="K168" s="16"/>
      <c r="L168" s="15"/>
      <c r="M168" s="16"/>
      <c r="N168" s="17"/>
      <c r="O168" s="16"/>
      <c r="P168" s="16"/>
      <c r="Q168" s="152">
        <f t="shared" si="70"/>
        <v>0</v>
      </c>
      <c r="R168" s="152">
        <f t="shared" si="71"/>
        <v>0</v>
      </c>
      <c r="S168" s="152">
        <f t="shared" si="72"/>
        <v>0</v>
      </c>
      <c r="T168" s="18">
        <f t="shared" si="73"/>
        <v>0</v>
      </c>
    </row>
    <row r="169" spans="2:20" x14ac:dyDescent="0.25">
      <c r="B169" s="117" t="s">
        <v>710</v>
      </c>
      <c r="C169" s="136" t="s">
        <v>328</v>
      </c>
      <c r="D169" s="45" t="s">
        <v>15</v>
      </c>
      <c r="E169" s="45" t="s">
        <v>16</v>
      </c>
      <c r="F169" s="15">
        <v>44284</v>
      </c>
      <c r="G169" s="16">
        <v>0.22500000000000001</v>
      </c>
      <c r="H169" s="15"/>
      <c r="I169" s="16"/>
      <c r="J169" s="15"/>
      <c r="K169" s="16"/>
      <c r="L169" s="15"/>
      <c r="M169" s="63"/>
      <c r="N169" s="17"/>
      <c r="O169" s="16"/>
      <c r="P169" s="16"/>
      <c r="Q169" s="152">
        <f t="shared" si="70"/>
        <v>0</v>
      </c>
      <c r="R169" s="152">
        <f t="shared" si="71"/>
        <v>0.22500000000000001</v>
      </c>
      <c r="S169" s="152">
        <f t="shared" si="72"/>
        <v>0.22500000000000001</v>
      </c>
      <c r="T169" s="18">
        <f t="shared" si="73"/>
        <v>0.22500000000000001</v>
      </c>
    </row>
    <row r="170" spans="2:20" x14ac:dyDescent="0.25">
      <c r="B170" s="117" t="s">
        <v>773</v>
      </c>
      <c r="C170" s="136" t="s">
        <v>774</v>
      </c>
      <c r="D170" s="45" t="s">
        <v>24</v>
      </c>
      <c r="E170" s="45" t="s">
        <v>16</v>
      </c>
      <c r="F170" s="15">
        <v>44335</v>
      </c>
      <c r="G170" s="16">
        <v>0.7</v>
      </c>
      <c r="H170" s="15"/>
      <c r="I170" s="16"/>
      <c r="J170" s="15"/>
      <c r="K170" s="16"/>
      <c r="L170" s="15"/>
      <c r="M170" s="63"/>
      <c r="N170" s="17"/>
      <c r="O170" s="16"/>
      <c r="P170" s="16"/>
      <c r="Q170" s="152">
        <f t="shared" ref="Q170" si="74">IF(F170&lt;=ExpQ1,G170,0)+IF(H170&lt;=ExpQ1,I170,0)+IF(J170&lt;=ExpQ1,K170,0)+IF(L170&lt;=ExpQ1,M170,0)+IF(N170&lt;=ExpQ1,O170,0)</f>
        <v>0</v>
      </c>
      <c r="R170" s="152">
        <f t="shared" ref="R170" si="75">IF(F170&lt;=ExpH1,G170,0)+IF(H170&lt;=ExpH1,I170,0)+IF(J170&lt;=ExpH1,K170,0)+IF(L170&lt;=ExpH1,M170,0)+IF(N170&lt;=ExpH1,O170,0)</f>
        <v>0.7</v>
      </c>
      <c r="S170" s="152">
        <f t="shared" ref="S170" si="76">IF(F170&lt;=ExpQ3,G170,0)+IF(H170&lt;=ExpQ3,I170,0)+IF(J170&lt;=ExpQ3,K170,0)+IF(L170&lt;=ExpQ3,M170,0)+IF(N170&lt;=ExpQ3,O170,0)</f>
        <v>0.7</v>
      </c>
      <c r="T170" s="18">
        <f t="shared" ref="T170" si="77">G170+I170+K170+M170+O170</f>
        <v>0.7</v>
      </c>
    </row>
    <row r="171" spans="2:20" x14ac:dyDescent="0.25">
      <c r="B171" s="117" t="s">
        <v>329</v>
      </c>
      <c r="C171" s="136" t="s">
        <v>330</v>
      </c>
      <c r="D171" s="45" t="s">
        <v>24</v>
      </c>
      <c r="E171" s="45" t="s">
        <v>16</v>
      </c>
      <c r="F171" s="15">
        <v>44341</v>
      </c>
      <c r="G171" s="16">
        <v>2.2999999999999998</v>
      </c>
      <c r="H171" s="15"/>
      <c r="I171" s="16"/>
      <c r="J171" s="15"/>
      <c r="K171" s="16"/>
      <c r="L171" s="15"/>
      <c r="M171" s="63"/>
      <c r="N171" s="17"/>
      <c r="O171" s="16"/>
      <c r="P171" s="16"/>
      <c r="Q171" s="152">
        <f t="shared" si="70"/>
        <v>0</v>
      </c>
      <c r="R171" s="152">
        <f t="shared" si="71"/>
        <v>2.2999999999999998</v>
      </c>
      <c r="S171" s="152">
        <f t="shared" si="72"/>
        <v>2.2999999999999998</v>
      </c>
      <c r="T171" s="18">
        <f t="shared" si="73"/>
        <v>2.2999999999999998</v>
      </c>
    </row>
    <row r="172" spans="2:20" x14ac:dyDescent="0.25">
      <c r="B172" s="117" t="s">
        <v>779</v>
      </c>
      <c r="C172" s="136" t="s">
        <v>780</v>
      </c>
      <c r="D172" s="14" t="s">
        <v>755</v>
      </c>
      <c r="E172" s="45" t="s">
        <v>475</v>
      </c>
      <c r="F172" s="147">
        <v>44253</v>
      </c>
      <c r="G172" s="148">
        <f>0.32*0.99582184*0.9980006</f>
        <v>0.31802585402019329</v>
      </c>
      <c r="H172" s="147">
        <v>44344</v>
      </c>
      <c r="I172" s="148">
        <f>0.77*0.99582184*0.9980006</f>
        <v>0.76524971123608998</v>
      </c>
      <c r="J172" s="147">
        <v>44442</v>
      </c>
      <c r="K172" s="148">
        <f>0.96*0.995802184*0.9980006</f>
        <v>0.95405873002877795</v>
      </c>
      <c r="L172" s="147">
        <v>44519</v>
      </c>
      <c r="M172" s="148">
        <f>0.93*0.9980006</f>
        <v>0.92814055800000006</v>
      </c>
      <c r="N172" s="17"/>
      <c r="O172" s="16"/>
      <c r="P172" s="16"/>
      <c r="Q172" s="152">
        <f t="shared" ref="Q172" si="78">IF(F172&lt;=ExpQ1,G172,0)+IF(H172&lt;=ExpQ1,I172,0)+IF(J172&lt;=ExpQ1,K172,0)+IF(L172&lt;=ExpQ1,M172,0)+IF(N172&lt;=ExpQ1,O172,0)</f>
        <v>0.31802585402019329</v>
      </c>
      <c r="R172" s="152">
        <f t="shared" ref="R172" si="79">IF(F172&lt;=ExpH1,G172,0)+IF(H172&lt;=ExpH1,I172,0)+IF(J172&lt;=ExpH1,K172,0)+IF(L172&lt;=ExpH1,M172,0)+IF(N172&lt;=ExpH1,O172,0)</f>
        <v>1.0832755652562833</v>
      </c>
      <c r="S172" s="152">
        <f t="shared" ref="S172" si="80">IF(F172&lt;=ExpQ3,G172,0)+IF(H172&lt;=ExpQ3,I172,0)+IF(J172&lt;=ExpQ3,K172,0)+IF(L172&lt;=ExpQ3,M172,0)+IF(N172&lt;=ExpQ3,O172,0)</f>
        <v>2.0373342952850613</v>
      </c>
      <c r="T172" s="18">
        <f t="shared" si="73"/>
        <v>2.9654748532850612</v>
      </c>
    </row>
    <row r="173" spans="2:20" x14ac:dyDescent="0.25">
      <c r="B173" s="117" t="s">
        <v>333</v>
      </c>
      <c r="C173" s="136" t="s">
        <v>334</v>
      </c>
      <c r="D173" s="14" t="s">
        <v>15</v>
      </c>
      <c r="E173" s="14" t="s">
        <v>16</v>
      </c>
      <c r="F173" s="15">
        <v>44315</v>
      </c>
      <c r="G173" s="16">
        <v>9.8000000000000007</v>
      </c>
      <c r="H173" s="15"/>
      <c r="I173" s="16"/>
      <c r="J173" s="15"/>
      <c r="K173" s="16"/>
      <c r="L173" s="15"/>
      <c r="M173" s="63"/>
      <c r="N173" s="17"/>
      <c r="O173" s="16"/>
      <c r="P173" s="16"/>
      <c r="Q173" s="152">
        <f t="shared" si="70"/>
        <v>0</v>
      </c>
      <c r="R173" s="152">
        <f t="shared" si="71"/>
        <v>9.8000000000000007</v>
      </c>
      <c r="S173" s="152">
        <f t="shared" si="72"/>
        <v>9.8000000000000007</v>
      </c>
      <c r="T173" s="18">
        <f t="shared" si="73"/>
        <v>9.8000000000000007</v>
      </c>
    </row>
    <row r="174" spans="2:20" x14ac:dyDescent="0.25">
      <c r="B174" s="117" t="s">
        <v>335</v>
      </c>
      <c r="C174" s="136" t="s">
        <v>336</v>
      </c>
      <c r="D174" s="14" t="s">
        <v>15</v>
      </c>
      <c r="E174" s="14" t="s">
        <v>761</v>
      </c>
      <c r="F174" s="15">
        <v>44350</v>
      </c>
      <c r="G174" s="16">
        <v>32.159999999999997</v>
      </c>
      <c r="H174" s="15">
        <v>44532</v>
      </c>
      <c r="I174" s="16">
        <v>17.21</v>
      </c>
      <c r="J174" s="15"/>
      <c r="K174" s="16"/>
      <c r="L174" s="15"/>
      <c r="M174" s="63"/>
      <c r="N174" s="17"/>
      <c r="O174" s="16"/>
      <c r="P174" s="16"/>
      <c r="Q174" s="152">
        <f t="shared" si="70"/>
        <v>0</v>
      </c>
      <c r="R174" s="152">
        <f t="shared" si="71"/>
        <v>32.159999999999997</v>
      </c>
      <c r="S174" s="152">
        <f t="shared" si="72"/>
        <v>32.159999999999997</v>
      </c>
      <c r="T174" s="18">
        <f t="shared" si="73"/>
        <v>49.37</v>
      </c>
    </row>
    <row r="175" spans="2:20" x14ac:dyDescent="0.25">
      <c r="B175" s="117" t="s">
        <v>339</v>
      </c>
      <c r="C175" s="136" t="s">
        <v>340</v>
      </c>
      <c r="D175" s="14" t="s">
        <v>15</v>
      </c>
      <c r="E175" s="14" t="s">
        <v>16</v>
      </c>
      <c r="F175" s="15">
        <v>44286</v>
      </c>
      <c r="G175" s="16">
        <v>0.4</v>
      </c>
      <c r="H175" s="15">
        <v>44473</v>
      </c>
      <c r="I175" s="16">
        <v>0.4</v>
      </c>
      <c r="J175" s="40"/>
      <c r="K175" s="41"/>
      <c r="L175" s="40"/>
      <c r="M175" s="79"/>
      <c r="N175" s="42"/>
      <c r="O175" s="41"/>
      <c r="P175" s="41"/>
      <c r="Q175" s="152">
        <f t="shared" si="70"/>
        <v>0</v>
      </c>
      <c r="R175" s="152">
        <f t="shared" si="71"/>
        <v>0.4</v>
      </c>
      <c r="S175" s="152">
        <f t="shared" si="72"/>
        <v>0.4</v>
      </c>
      <c r="T175" s="18">
        <f t="shared" si="73"/>
        <v>0.8</v>
      </c>
    </row>
    <row r="176" spans="2:20" x14ac:dyDescent="0.25">
      <c r="B176" s="117" t="s">
        <v>341</v>
      </c>
      <c r="C176" s="136" t="s">
        <v>342</v>
      </c>
      <c r="D176" s="14" t="s">
        <v>15</v>
      </c>
      <c r="E176" s="14" t="s">
        <v>21</v>
      </c>
      <c r="F176" s="15">
        <v>44305</v>
      </c>
      <c r="G176" s="16">
        <v>2.75</v>
      </c>
      <c r="H176" s="15"/>
      <c r="I176" s="16"/>
      <c r="J176" s="15"/>
      <c r="K176" s="16"/>
      <c r="L176" s="15"/>
      <c r="M176" s="63"/>
      <c r="N176" s="17"/>
      <c r="O176" s="16"/>
      <c r="P176" s="16"/>
      <c r="Q176" s="152">
        <f t="shared" si="70"/>
        <v>0</v>
      </c>
      <c r="R176" s="152">
        <f t="shared" si="71"/>
        <v>2.75</v>
      </c>
      <c r="S176" s="152">
        <f t="shared" si="72"/>
        <v>2.75</v>
      </c>
      <c r="T176" s="18">
        <f t="shared" si="73"/>
        <v>2.75</v>
      </c>
    </row>
    <row r="177" spans="2:20" x14ac:dyDescent="0.25">
      <c r="B177" s="117" t="s">
        <v>343</v>
      </c>
      <c r="C177" s="136" t="s">
        <v>344</v>
      </c>
      <c r="D177" s="14" t="s">
        <v>15</v>
      </c>
      <c r="E177" s="14" t="s">
        <v>16</v>
      </c>
      <c r="F177" s="15">
        <v>44340</v>
      </c>
      <c r="G177" s="16">
        <v>1.47</v>
      </c>
      <c r="H177" s="15">
        <v>44424</v>
      </c>
      <c r="I177" s="16">
        <v>0.93</v>
      </c>
      <c r="J177" s="15"/>
      <c r="K177" s="16"/>
      <c r="L177" s="15"/>
      <c r="M177" s="63"/>
      <c r="N177" s="17"/>
      <c r="O177" s="16"/>
      <c r="P177" s="16"/>
      <c r="Q177" s="152">
        <f t="shared" si="70"/>
        <v>0</v>
      </c>
      <c r="R177" s="152">
        <f t="shared" si="71"/>
        <v>1.47</v>
      </c>
      <c r="S177" s="152">
        <f t="shared" si="72"/>
        <v>2.4</v>
      </c>
      <c r="T177" s="18">
        <f t="shared" si="73"/>
        <v>2.4</v>
      </c>
    </row>
    <row r="178" spans="2:20" x14ac:dyDescent="0.25">
      <c r="B178" s="117" t="s">
        <v>345</v>
      </c>
      <c r="C178" s="136" t="s">
        <v>346</v>
      </c>
      <c r="D178" s="14" t="s">
        <v>15</v>
      </c>
      <c r="E178" s="14" t="s">
        <v>16</v>
      </c>
      <c r="F178" s="46"/>
      <c r="G178" s="47"/>
      <c r="H178" s="46"/>
      <c r="I178" s="47"/>
      <c r="J178" s="46"/>
      <c r="K178" s="47"/>
      <c r="L178" s="46"/>
      <c r="M178" s="80"/>
      <c r="N178" s="48"/>
      <c r="O178" s="47"/>
      <c r="P178" s="47"/>
      <c r="Q178" s="152">
        <f t="shared" si="70"/>
        <v>0</v>
      </c>
      <c r="R178" s="152">
        <f t="shared" si="71"/>
        <v>0</v>
      </c>
      <c r="S178" s="152">
        <f t="shared" si="72"/>
        <v>0</v>
      </c>
      <c r="T178" s="18">
        <f t="shared" si="73"/>
        <v>0</v>
      </c>
    </row>
    <row r="179" spans="2:20" x14ac:dyDescent="0.25">
      <c r="B179" s="117" t="s">
        <v>756</v>
      </c>
      <c r="C179" s="136" t="s">
        <v>757</v>
      </c>
      <c r="D179" s="14" t="s">
        <v>15</v>
      </c>
      <c r="E179" s="14" t="s">
        <v>16</v>
      </c>
      <c r="F179" s="46">
        <v>44286</v>
      </c>
      <c r="G179" s="47">
        <v>0.6</v>
      </c>
      <c r="H179" s="46">
        <v>44503</v>
      </c>
      <c r="I179" s="47">
        <v>0.6</v>
      </c>
      <c r="J179" s="46"/>
      <c r="K179" s="47"/>
      <c r="L179" s="46"/>
      <c r="M179" s="80"/>
      <c r="N179" s="48"/>
      <c r="O179" s="47"/>
      <c r="P179" s="47"/>
      <c r="Q179" s="152">
        <f t="shared" ref="Q179" si="81">IF(F179&lt;=ExpQ1,G179,0)+IF(H179&lt;=ExpQ1,I179,0)+IF(J179&lt;=ExpQ1,K179,0)+IF(L179&lt;=ExpQ1,M179,0)+IF(N179&lt;=ExpQ1,O179,0)</f>
        <v>0</v>
      </c>
      <c r="R179" s="152">
        <f t="shared" ref="R179" si="82">IF(F179&lt;=ExpH1,G179,0)+IF(H179&lt;=ExpH1,I179,0)+IF(J179&lt;=ExpH1,K179,0)+IF(L179&lt;=ExpH1,M179,0)+IF(N179&lt;=ExpH1,O179,0)</f>
        <v>0.6</v>
      </c>
      <c r="S179" s="152">
        <f t="shared" ref="S179" si="83">IF(F179&lt;=ExpQ3,G179,0)+IF(H179&lt;=ExpQ3,I179,0)+IF(J179&lt;=ExpQ3,K179,0)+IF(L179&lt;=ExpQ3,M179,0)+IF(N179&lt;=ExpQ3,O179,0)</f>
        <v>0.6</v>
      </c>
      <c r="T179" s="18">
        <f t="shared" si="73"/>
        <v>1.2</v>
      </c>
    </row>
    <row r="180" spans="2:20" x14ac:dyDescent="0.25">
      <c r="B180" s="117" t="s">
        <v>347</v>
      </c>
      <c r="C180" s="136" t="s">
        <v>348</v>
      </c>
      <c r="D180" s="14" t="s">
        <v>15</v>
      </c>
      <c r="E180" s="14" t="s">
        <v>16</v>
      </c>
      <c r="F180" s="46">
        <v>44246</v>
      </c>
      <c r="G180" s="47">
        <v>7.0000000000000007E-2</v>
      </c>
      <c r="H180" s="46">
        <v>44473</v>
      </c>
      <c r="I180" s="47">
        <v>0.72</v>
      </c>
      <c r="J180" s="46"/>
      <c r="K180" s="47"/>
      <c r="L180" s="46"/>
      <c r="M180" s="80"/>
      <c r="N180" s="48"/>
      <c r="O180" s="47"/>
      <c r="P180" s="47"/>
      <c r="Q180" s="152">
        <f t="shared" si="70"/>
        <v>7.0000000000000007E-2</v>
      </c>
      <c r="R180" s="152">
        <f t="shared" si="71"/>
        <v>7.0000000000000007E-2</v>
      </c>
      <c r="S180" s="152">
        <f t="shared" si="72"/>
        <v>7.0000000000000007E-2</v>
      </c>
      <c r="T180" s="18">
        <f t="shared" si="73"/>
        <v>0.79</v>
      </c>
    </row>
    <row r="181" spans="2:20" x14ac:dyDescent="0.25">
      <c r="B181" s="117" t="s">
        <v>753</v>
      </c>
      <c r="C181" s="136" t="s">
        <v>754</v>
      </c>
      <c r="D181" s="14" t="s">
        <v>755</v>
      </c>
      <c r="E181" s="14" t="s">
        <v>475</v>
      </c>
      <c r="F181" s="46">
        <v>44323</v>
      </c>
      <c r="G181" s="47">
        <v>1.25</v>
      </c>
      <c r="H181" s="46"/>
      <c r="I181" s="47"/>
      <c r="J181" s="46"/>
      <c r="K181" s="47"/>
      <c r="L181" s="46"/>
      <c r="M181" s="80"/>
      <c r="N181" s="48"/>
      <c r="O181" s="47"/>
      <c r="P181" s="47"/>
      <c r="Q181" s="152">
        <f t="shared" ref="Q181" si="84">IF(F181&lt;=ExpQ1,G181,0)+IF(H181&lt;=ExpQ1,I181,0)+IF(J181&lt;=ExpQ1,K181,0)+IF(L181&lt;=ExpQ1,M181,0)+IF(N181&lt;=ExpQ1,O181,0)</f>
        <v>0</v>
      </c>
      <c r="R181" s="152">
        <f t="shared" ref="R181" si="85">IF(F181&lt;=ExpH1,G181,0)+IF(H181&lt;=ExpH1,I181,0)+IF(J181&lt;=ExpH1,K181,0)+IF(L181&lt;=ExpH1,M181,0)+IF(N181&lt;=ExpH1,O181,0)</f>
        <v>1.25</v>
      </c>
      <c r="S181" s="152">
        <f t="shared" ref="S181" si="86">IF(F181&lt;=ExpQ3,G181,0)+IF(H181&lt;=ExpQ3,I181,0)+IF(J181&lt;=ExpQ3,K181,0)+IF(L181&lt;=ExpQ3,M181,0)+IF(N181&lt;=ExpQ3,O181,0)</f>
        <v>1.25</v>
      </c>
      <c r="T181" s="18">
        <f t="shared" si="73"/>
        <v>1.25</v>
      </c>
    </row>
    <row r="182" spans="2:20" x14ac:dyDescent="0.25">
      <c r="B182" s="117" t="s">
        <v>696</v>
      </c>
      <c r="C182" s="136" t="s">
        <v>350</v>
      </c>
      <c r="D182" s="14" t="s">
        <v>15</v>
      </c>
      <c r="E182" s="14" t="s">
        <v>21</v>
      </c>
      <c r="F182" s="15">
        <v>44259</v>
      </c>
      <c r="G182" s="16">
        <v>3</v>
      </c>
      <c r="H182" s="15"/>
      <c r="I182" s="16"/>
      <c r="J182" s="15"/>
      <c r="K182" s="16"/>
      <c r="L182" s="15"/>
      <c r="M182" s="63"/>
      <c r="N182" s="17"/>
      <c r="O182" s="16"/>
      <c r="P182" s="16"/>
      <c r="Q182" s="152">
        <f t="shared" si="70"/>
        <v>3</v>
      </c>
      <c r="R182" s="152">
        <f t="shared" si="71"/>
        <v>3</v>
      </c>
      <c r="S182" s="152">
        <f t="shared" si="72"/>
        <v>3</v>
      </c>
      <c r="T182" s="18">
        <f t="shared" si="73"/>
        <v>3</v>
      </c>
    </row>
    <row r="183" spans="2:20" x14ac:dyDescent="0.25">
      <c r="B183" s="117" t="s">
        <v>734</v>
      </c>
      <c r="C183" s="136" t="s">
        <v>735</v>
      </c>
      <c r="D183" s="14" t="s">
        <v>15</v>
      </c>
      <c r="E183" s="14" t="s">
        <v>16</v>
      </c>
      <c r="F183" s="15">
        <v>44356</v>
      </c>
      <c r="G183" s="16">
        <v>1.85</v>
      </c>
      <c r="H183" s="15"/>
      <c r="I183" s="16"/>
      <c r="J183" s="15"/>
      <c r="K183" s="16"/>
      <c r="L183" s="15"/>
      <c r="M183" s="63"/>
      <c r="N183" s="17"/>
      <c r="O183" s="16"/>
      <c r="P183" s="16"/>
      <c r="Q183" s="152">
        <f t="shared" ref="Q183" si="87">IF(F183&lt;=ExpQ1,G183,0)+IF(H183&lt;=ExpQ1,I183,0)+IF(J183&lt;=ExpQ1,K183,0)+IF(L183&lt;=ExpQ1,M183,0)+IF(N183&lt;=ExpQ1,O183,0)</f>
        <v>0</v>
      </c>
      <c r="R183" s="152">
        <f t="shared" ref="R183" si="88">IF(F183&lt;=ExpH1,G183,0)+IF(H183&lt;=ExpH1,I183,0)+IF(J183&lt;=ExpH1,K183,0)+IF(L183&lt;=ExpH1,M183,0)+IF(N183&lt;=ExpH1,O183,0)</f>
        <v>1.85</v>
      </c>
      <c r="S183" s="152">
        <f t="shared" ref="S183" si="89">IF(F183&lt;=ExpQ3,G183,0)+IF(H183&lt;=ExpQ3,I183,0)+IF(J183&lt;=ExpQ3,K183,0)+IF(L183&lt;=ExpQ3,M183,0)+IF(N183&lt;=ExpQ3,O183,0)</f>
        <v>1.85</v>
      </c>
      <c r="T183" s="18">
        <f t="shared" ref="T183" si="90">G183+I183+K183+M183+O183</f>
        <v>1.85</v>
      </c>
    </row>
    <row r="184" spans="2:20" x14ac:dyDescent="0.25">
      <c r="B184" s="117" t="s">
        <v>353</v>
      </c>
      <c r="C184" s="136" t="s">
        <v>354</v>
      </c>
      <c r="D184" s="14" t="s">
        <v>24</v>
      </c>
      <c r="E184" s="14" t="s">
        <v>16</v>
      </c>
      <c r="F184" s="147">
        <v>44362</v>
      </c>
      <c r="G184" s="148">
        <f>0.3*0.98029557</f>
        <v>0.29408867099999997</v>
      </c>
      <c r="H184" s="15">
        <v>44543</v>
      </c>
      <c r="I184" s="16">
        <v>0.3</v>
      </c>
      <c r="J184" s="15"/>
      <c r="K184" s="16"/>
      <c r="L184" s="15"/>
      <c r="M184" s="63"/>
      <c r="N184" s="17"/>
      <c r="O184" s="16"/>
      <c r="P184" s="16"/>
      <c r="Q184" s="152">
        <f t="shared" si="70"/>
        <v>0</v>
      </c>
      <c r="R184" s="152">
        <f t="shared" si="71"/>
        <v>0.29408867099999997</v>
      </c>
      <c r="S184" s="152">
        <f t="shared" si="72"/>
        <v>0.29408867099999997</v>
      </c>
      <c r="T184" s="18">
        <f t="shared" si="73"/>
        <v>0.59408867099999996</v>
      </c>
    </row>
    <row r="185" spans="2:20" x14ac:dyDescent="0.25">
      <c r="B185" s="117" t="s">
        <v>357</v>
      </c>
      <c r="C185" s="136" t="s">
        <v>358</v>
      </c>
      <c r="D185" s="14" t="s">
        <v>15</v>
      </c>
      <c r="E185" s="14" t="s">
        <v>761</v>
      </c>
      <c r="F185" s="15">
        <v>44280</v>
      </c>
      <c r="G185" s="16">
        <v>13.5</v>
      </c>
      <c r="H185" s="15">
        <v>44420</v>
      </c>
      <c r="I185" s="16">
        <v>6.3</v>
      </c>
      <c r="J185" s="15"/>
      <c r="K185" s="16"/>
      <c r="L185" s="15"/>
      <c r="M185" s="63"/>
      <c r="N185" s="17"/>
      <c r="O185" s="16"/>
      <c r="P185" s="16"/>
      <c r="Q185" s="152">
        <f t="shared" si="70"/>
        <v>0</v>
      </c>
      <c r="R185" s="152">
        <f t="shared" si="71"/>
        <v>13.5</v>
      </c>
      <c r="S185" s="152">
        <f t="shared" si="72"/>
        <v>19.8</v>
      </c>
      <c r="T185" s="18">
        <f t="shared" si="73"/>
        <v>19.8</v>
      </c>
    </row>
    <row r="186" spans="2:20" x14ac:dyDescent="0.25">
      <c r="B186" s="117" t="s">
        <v>359</v>
      </c>
      <c r="C186" s="136" t="s">
        <v>360</v>
      </c>
      <c r="D186" s="14" t="s">
        <v>24</v>
      </c>
      <c r="E186" s="14" t="s">
        <v>16</v>
      </c>
      <c r="F186" s="15">
        <v>44384</v>
      </c>
      <c r="G186" s="16">
        <v>1.33</v>
      </c>
      <c r="H186" s="15">
        <v>44522</v>
      </c>
      <c r="I186" s="16">
        <v>1.79</v>
      </c>
      <c r="J186" s="15"/>
      <c r="K186" s="16"/>
      <c r="L186" s="15"/>
      <c r="M186" s="63"/>
      <c r="N186" s="17"/>
      <c r="O186" s="16"/>
      <c r="P186" s="16"/>
      <c r="Q186" s="152">
        <f t="shared" si="70"/>
        <v>0</v>
      </c>
      <c r="R186" s="152">
        <f t="shared" si="71"/>
        <v>0</v>
      </c>
      <c r="S186" s="152">
        <f t="shared" si="72"/>
        <v>1.33</v>
      </c>
      <c r="T186" s="18">
        <f t="shared" si="73"/>
        <v>3.12</v>
      </c>
    </row>
    <row r="187" spans="2:20" x14ac:dyDescent="0.25">
      <c r="B187" s="117" t="s">
        <v>366</v>
      </c>
      <c r="C187" s="136" t="s">
        <v>367</v>
      </c>
      <c r="D187" s="14" t="s">
        <v>15</v>
      </c>
      <c r="E187" s="14" t="s">
        <v>16</v>
      </c>
      <c r="F187" s="15">
        <v>44326</v>
      </c>
      <c r="G187" s="16">
        <v>0.85</v>
      </c>
      <c r="H187" s="15"/>
      <c r="I187" s="16"/>
      <c r="J187" s="15"/>
      <c r="K187" s="16"/>
      <c r="L187" s="15"/>
      <c r="M187" s="63"/>
      <c r="N187" s="17"/>
      <c r="O187" s="16"/>
      <c r="P187" s="16"/>
      <c r="Q187" s="152">
        <f t="shared" si="70"/>
        <v>0</v>
      </c>
      <c r="R187" s="152">
        <f t="shared" si="71"/>
        <v>0.85</v>
      </c>
      <c r="S187" s="152">
        <f t="shared" si="72"/>
        <v>0.85</v>
      </c>
      <c r="T187" s="18">
        <f t="shared" si="73"/>
        <v>0.85</v>
      </c>
    </row>
    <row r="188" spans="2:20" x14ac:dyDescent="0.25">
      <c r="B188" s="117" t="s">
        <v>736</v>
      </c>
      <c r="C188" s="136" t="s">
        <v>737</v>
      </c>
      <c r="D188" s="14" t="s">
        <v>15</v>
      </c>
      <c r="E188" s="14" t="s">
        <v>16</v>
      </c>
      <c r="F188" s="15">
        <v>44368</v>
      </c>
      <c r="G188" s="16">
        <v>0.32400000000000001</v>
      </c>
      <c r="H188" s="15">
        <v>44522</v>
      </c>
      <c r="I188" s="16">
        <v>0.185</v>
      </c>
      <c r="J188" s="15"/>
      <c r="K188" s="16"/>
      <c r="L188" s="15"/>
      <c r="M188" s="63"/>
      <c r="N188" s="17"/>
      <c r="O188" s="16"/>
      <c r="P188" s="16"/>
      <c r="Q188" s="152">
        <f t="shared" ref="Q188" si="91">IF(F188&lt;=ExpQ1,G188,0)+IF(H188&lt;=ExpQ1,I188,0)+IF(J188&lt;=ExpQ1,K188,0)+IF(L188&lt;=ExpQ1,M188,0)+IF(N188&lt;=ExpQ1,O188,0)</f>
        <v>0</v>
      </c>
      <c r="R188" s="152">
        <f t="shared" ref="R188" si="92">IF(F188&lt;=ExpH1,G188,0)+IF(H188&lt;=ExpH1,I188,0)+IF(J188&lt;=ExpH1,K188,0)+IF(L188&lt;=ExpH1,M188,0)+IF(N188&lt;=ExpH1,O188,0)</f>
        <v>0</v>
      </c>
      <c r="S188" s="152">
        <f t="shared" ref="S188" si="93">IF(F188&lt;=ExpQ3,G188,0)+IF(H188&lt;=ExpQ3,I188,0)+IF(J188&lt;=ExpQ3,K188,0)+IF(L188&lt;=ExpQ3,M188,0)+IF(N188&lt;=ExpQ3,O188,0)</f>
        <v>0.32400000000000001</v>
      </c>
      <c r="T188" s="18">
        <f t="shared" ref="T188" si="94">G188+I188+K188+M188+O188</f>
        <v>0.50900000000000001</v>
      </c>
    </row>
    <row r="189" spans="2:20" x14ac:dyDescent="0.25">
      <c r="B189" s="117" t="s">
        <v>370</v>
      </c>
      <c r="C189" s="136" t="s">
        <v>721</v>
      </c>
      <c r="D189" s="14" t="s">
        <v>15</v>
      </c>
      <c r="E189" s="14" t="s">
        <v>56</v>
      </c>
      <c r="F189" s="15">
        <v>44280</v>
      </c>
      <c r="G189" s="16">
        <v>0.10730000000000001</v>
      </c>
      <c r="H189" s="15">
        <v>44427</v>
      </c>
      <c r="I189" s="16">
        <v>5.3699999999999998E-2</v>
      </c>
      <c r="J189" s="15"/>
      <c r="K189" s="16"/>
      <c r="L189" s="15"/>
      <c r="M189" s="63"/>
      <c r="N189" s="17"/>
      <c r="O189" s="16"/>
      <c r="P189" s="16"/>
      <c r="Q189" s="152">
        <f t="shared" si="70"/>
        <v>0</v>
      </c>
      <c r="R189" s="152">
        <f t="shared" si="71"/>
        <v>0.10730000000000001</v>
      </c>
      <c r="S189" s="152">
        <f t="shared" si="72"/>
        <v>0.161</v>
      </c>
      <c r="T189" s="18">
        <f t="shared" si="73"/>
        <v>0.161</v>
      </c>
    </row>
    <row r="190" spans="2:20" x14ac:dyDescent="0.25">
      <c r="B190" s="117" t="s">
        <v>758</v>
      </c>
      <c r="C190" s="136" t="s">
        <v>759</v>
      </c>
      <c r="D190" s="14" t="s">
        <v>15</v>
      </c>
      <c r="E190" s="14" t="s">
        <v>16</v>
      </c>
      <c r="F190" s="15">
        <v>44349</v>
      </c>
      <c r="G190" s="16">
        <v>0.49</v>
      </c>
      <c r="H190" s="15"/>
      <c r="I190" s="16"/>
      <c r="J190" s="15"/>
      <c r="K190" s="16"/>
      <c r="L190" s="15"/>
      <c r="M190" s="63"/>
      <c r="N190" s="17"/>
      <c r="O190" s="16"/>
      <c r="P190" s="16"/>
      <c r="Q190" s="152">
        <f t="shared" ref="Q190" si="95">IF(F190&lt;=ExpQ1,G190,0)+IF(H190&lt;=ExpQ1,I190,0)+IF(J190&lt;=ExpQ1,K190,0)+IF(L190&lt;=ExpQ1,M190,0)+IF(N190&lt;=ExpQ1,O190,0)</f>
        <v>0</v>
      </c>
      <c r="R190" s="152">
        <f t="shared" ref="R190" si="96">IF(F190&lt;=ExpH1,G190,0)+IF(H190&lt;=ExpH1,I190,0)+IF(J190&lt;=ExpH1,K190,0)+IF(L190&lt;=ExpH1,M190,0)+IF(N190&lt;=ExpH1,O190,0)</f>
        <v>0.49</v>
      </c>
      <c r="S190" s="152">
        <f t="shared" ref="S190" si="97">IF(F190&lt;=ExpQ3,G190,0)+IF(H190&lt;=ExpQ3,I190,0)+IF(J190&lt;=ExpQ3,K190,0)+IF(L190&lt;=ExpQ3,M190,0)+IF(N190&lt;=ExpQ3,O190,0)</f>
        <v>0.49</v>
      </c>
      <c r="T190" s="18">
        <f t="shared" si="73"/>
        <v>0.49</v>
      </c>
    </row>
    <row r="191" spans="2:20" x14ac:dyDescent="0.25">
      <c r="B191" s="117" t="s">
        <v>368</v>
      </c>
      <c r="C191" s="136" t="s">
        <v>369</v>
      </c>
      <c r="D191" s="14" t="s">
        <v>27</v>
      </c>
      <c r="E191" s="14" t="s">
        <v>16</v>
      </c>
      <c r="F191" s="15">
        <v>44314</v>
      </c>
      <c r="G191" s="16">
        <v>0.7</v>
      </c>
      <c r="H191" s="15">
        <v>44538</v>
      </c>
      <c r="I191" s="16">
        <v>0.5</v>
      </c>
      <c r="J191" s="15"/>
      <c r="K191" s="16"/>
      <c r="L191" s="15"/>
      <c r="M191" s="16"/>
      <c r="N191" s="17"/>
      <c r="O191" s="16"/>
      <c r="P191" s="16"/>
      <c r="Q191" s="152">
        <f t="shared" si="70"/>
        <v>0</v>
      </c>
      <c r="R191" s="152">
        <f t="shared" si="71"/>
        <v>0.7</v>
      </c>
      <c r="S191" s="152">
        <f t="shared" si="72"/>
        <v>0.7</v>
      </c>
      <c r="T191" s="18">
        <f t="shared" si="73"/>
        <v>1.2</v>
      </c>
    </row>
    <row r="192" spans="2:20" x14ac:dyDescent="0.25">
      <c r="B192" s="117" t="s">
        <v>372</v>
      </c>
      <c r="C192" s="136" t="s">
        <v>373</v>
      </c>
      <c r="D192" s="14" t="s">
        <v>24</v>
      </c>
      <c r="E192" s="14" t="s">
        <v>16</v>
      </c>
      <c r="F192" s="15">
        <v>44362</v>
      </c>
      <c r="G192" s="16">
        <v>2</v>
      </c>
      <c r="H192" s="15"/>
      <c r="I192" s="16"/>
      <c r="J192" s="15"/>
      <c r="K192" s="16"/>
      <c r="L192" s="15"/>
      <c r="M192" s="63"/>
      <c r="N192" s="17"/>
      <c r="O192" s="16"/>
      <c r="P192" s="16"/>
      <c r="Q192" s="152">
        <f t="shared" si="70"/>
        <v>0</v>
      </c>
      <c r="R192" s="152">
        <f t="shared" si="71"/>
        <v>2</v>
      </c>
      <c r="S192" s="152">
        <f t="shared" si="72"/>
        <v>2</v>
      </c>
      <c r="T192" s="18">
        <f t="shared" si="73"/>
        <v>2</v>
      </c>
    </row>
    <row r="193" spans="2:20" x14ac:dyDescent="0.25">
      <c r="B193" s="117" t="s">
        <v>681</v>
      </c>
      <c r="C193" s="136" t="s">
        <v>682</v>
      </c>
      <c r="D193" s="14" t="s">
        <v>15</v>
      </c>
      <c r="E193" s="14" t="s">
        <v>16</v>
      </c>
      <c r="F193" s="15">
        <v>44314</v>
      </c>
      <c r="G193" s="16">
        <v>0.48</v>
      </c>
      <c r="H193" s="15">
        <v>44515</v>
      </c>
      <c r="I193" s="16">
        <v>0.75</v>
      </c>
      <c r="J193" s="15"/>
      <c r="K193" s="16"/>
      <c r="L193" s="15"/>
      <c r="M193" s="63"/>
      <c r="N193" s="17"/>
      <c r="O193" s="16"/>
      <c r="P193" s="16"/>
      <c r="Q193" s="152">
        <f t="shared" si="70"/>
        <v>0</v>
      </c>
      <c r="R193" s="152">
        <f t="shared" si="71"/>
        <v>0.48</v>
      </c>
      <c r="S193" s="152">
        <f t="shared" si="72"/>
        <v>0.48</v>
      </c>
      <c r="T193" s="18">
        <f t="shared" si="73"/>
        <v>1.23</v>
      </c>
    </row>
    <row r="194" spans="2:20" x14ac:dyDescent="0.25">
      <c r="B194" s="117" t="s">
        <v>620</v>
      </c>
      <c r="C194" s="136" t="s">
        <v>375</v>
      </c>
      <c r="D194" s="14" t="s">
        <v>15</v>
      </c>
      <c r="E194" s="14" t="s">
        <v>16</v>
      </c>
      <c r="F194" s="15">
        <v>44280</v>
      </c>
      <c r="G194" s="16">
        <v>1.62</v>
      </c>
      <c r="H194" s="15">
        <v>44463</v>
      </c>
      <c r="I194" s="16">
        <v>1.62</v>
      </c>
      <c r="J194" s="15"/>
      <c r="K194" s="16"/>
      <c r="L194" s="15"/>
      <c r="M194" s="63"/>
      <c r="N194" s="17"/>
      <c r="O194" s="16"/>
      <c r="P194" s="16"/>
      <c r="Q194" s="152">
        <f t="shared" si="70"/>
        <v>0</v>
      </c>
      <c r="R194" s="152">
        <f t="shared" si="71"/>
        <v>1.62</v>
      </c>
      <c r="S194" s="152">
        <f t="shared" si="72"/>
        <v>1.62</v>
      </c>
      <c r="T194" s="18">
        <f t="shared" si="73"/>
        <v>3.24</v>
      </c>
    </row>
    <row r="195" spans="2:20" x14ac:dyDescent="0.25">
      <c r="B195" s="117" t="s">
        <v>376</v>
      </c>
      <c r="C195" s="136" t="s">
        <v>377</v>
      </c>
      <c r="D195" s="14" t="s">
        <v>15</v>
      </c>
      <c r="E195" s="14" t="s">
        <v>761</v>
      </c>
      <c r="F195" s="15">
        <v>44322</v>
      </c>
      <c r="G195" s="16">
        <v>101.6</v>
      </c>
      <c r="H195" s="15">
        <v>44413</v>
      </c>
      <c r="I195" s="16">
        <v>73</v>
      </c>
      <c r="J195" s="15"/>
      <c r="K195" s="16"/>
      <c r="L195" s="15"/>
      <c r="M195" s="63"/>
      <c r="N195" s="17"/>
      <c r="O195" s="16"/>
      <c r="P195" s="16"/>
      <c r="Q195" s="152">
        <f t="shared" si="70"/>
        <v>0</v>
      </c>
      <c r="R195" s="152">
        <f t="shared" si="71"/>
        <v>101.6</v>
      </c>
      <c r="S195" s="152">
        <f t="shared" si="72"/>
        <v>174.6</v>
      </c>
      <c r="T195" s="18">
        <f t="shared" si="73"/>
        <v>174.6</v>
      </c>
    </row>
    <row r="196" spans="2:20" x14ac:dyDescent="0.25">
      <c r="B196" s="117" t="s">
        <v>378</v>
      </c>
      <c r="C196" s="136" t="s">
        <v>379</v>
      </c>
      <c r="D196" s="14" t="s">
        <v>15</v>
      </c>
      <c r="E196" s="14" t="s">
        <v>16</v>
      </c>
      <c r="F196" s="15">
        <v>44201</v>
      </c>
      <c r="G196" s="16">
        <v>0.2727</v>
      </c>
      <c r="H196" s="15">
        <v>44377</v>
      </c>
      <c r="I196" s="16">
        <v>0.72729999999999995</v>
      </c>
      <c r="J196" s="15"/>
      <c r="K196" s="16"/>
      <c r="L196" s="15"/>
      <c r="M196" s="63"/>
      <c r="N196" s="17"/>
      <c r="O196" s="16"/>
      <c r="P196" s="16"/>
      <c r="Q196" s="152">
        <f t="shared" si="70"/>
        <v>0.2727</v>
      </c>
      <c r="R196" s="152">
        <f t="shared" si="71"/>
        <v>0.2727</v>
      </c>
      <c r="S196" s="152">
        <f t="shared" si="72"/>
        <v>1</v>
      </c>
      <c r="T196" s="18">
        <f t="shared" si="73"/>
        <v>1</v>
      </c>
    </row>
    <row r="197" spans="2:20" x14ac:dyDescent="0.25">
      <c r="B197" s="117" t="s">
        <v>382</v>
      </c>
      <c r="C197" s="136" t="s">
        <v>381</v>
      </c>
      <c r="D197" s="45" t="s">
        <v>15</v>
      </c>
      <c r="E197" s="45" t="s">
        <v>16</v>
      </c>
      <c r="F197" s="15">
        <v>44315</v>
      </c>
      <c r="G197" s="16">
        <f>33.4/0.86988/100</f>
        <v>0.3839610061157861</v>
      </c>
      <c r="H197" s="15">
        <v>44413</v>
      </c>
      <c r="I197" s="16">
        <f>0.143/0.85153</f>
        <v>0.16793301469120286</v>
      </c>
      <c r="J197" s="15"/>
      <c r="K197" s="16"/>
      <c r="L197" s="15"/>
      <c r="M197" s="63"/>
      <c r="N197" s="17"/>
      <c r="O197" s="16"/>
      <c r="P197" s="16"/>
      <c r="Q197" s="152">
        <f t="shared" si="70"/>
        <v>0</v>
      </c>
      <c r="R197" s="152">
        <f t="shared" si="71"/>
        <v>0.3839610061157861</v>
      </c>
      <c r="S197" s="152">
        <f t="shared" si="72"/>
        <v>0.55189402080698891</v>
      </c>
      <c r="T197" s="18">
        <f t="shared" si="73"/>
        <v>0.55189402080698891</v>
      </c>
    </row>
    <row r="198" spans="2:20" x14ac:dyDescent="0.25">
      <c r="B198" s="117" t="s">
        <v>382</v>
      </c>
      <c r="C198" s="136" t="s">
        <v>383</v>
      </c>
      <c r="D198" s="45" t="s">
        <v>15</v>
      </c>
      <c r="E198" s="14" t="s">
        <v>761</v>
      </c>
      <c r="F198" s="15">
        <v>44315</v>
      </c>
      <c r="G198" s="16">
        <v>33.4</v>
      </c>
      <c r="H198" s="15">
        <v>44413</v>
      </c>
      <c r="I198" s="16">
        <v>14.3</v>
      </c>
      <c r="J198" s="15"/>
      <c r="K198" s="16"/>
      <c r="L198" s="15"/>
      <c r="M198" s="63"/>
      <c r="N198" s="17"/>
      <c r="O198" s="16"/>
      <c r="P198" s="16"/>
      <c r="Q198" s="152">
        <f t="shared" si="70"/>
        <v>0</v>
      </c>
      <c r="R198" s="152">
        <f t="shared" si="71"/>
        <v>33.4</v>
      </c>
      <c r="S198" s="152">
        <f t="shared" si="72"/>
        <v>47.7</v>
      </c>
      <c r="T198" s="18">
        <f t="shared" si="73"/>
        <v>47.7</v>
      </c>
    </row>
    <row r="199" spans="2:20" x14ac:dyDescent="0.25">
      <c r="B199" s="117" t="s">
        <v>384</v>
      </c>
      <c r="C199" s="136" t="s">
        <v>385</v>
      </c>
      <c r="D199" s="45" t="s">
        <v>24</v>
      </c>
      <c r="E199" s="14" t="s">
        <v>16</v>
      </c>
      <c r="F199" s="15"/>
      <c r="G199" s="16"/>
      <c r="H199" s="15"/>
      <c r="I199" s="16"/>
      <c r="J199" s="15"/>
      <c r="K199" s="16"/>
      <c r="L199" s="15"/>
      <c r="M199" s="63"/>
      <c r="N199" s="17"/>
      <c r="O199" s="16"/>
      <c r="P199" s="16"/>
      <c r="Q199" s="152">
        <f t="shared" si="70"/>
        <v>0</v>
      </c>
      <c r="R199" s="152">
        <f t="shared" si="71"/>
        <v>0</v>
      </c>
      <c r="S199" s="152">
        <f t="shared" si="72"/>
        <v>0</v>
      </c>
      <c r="T199" s="18">
        <f t="shared" si="73"/>
        <v>0</v>
      </c>
    </row>
    <row r="200" spans="2:20" x14ac:dyDescent="0.25">
      <c r="B200" s="117" t="s">
        <v>386</v>
      </c>
      <c r="C200" s="136" t="s">
        <v>387</v>
      </c>
      <c r="D200" s="14" t="s">
        <v>15</v>
      </c>
      <c r="E200" s="14" t="s">
        <v>16</v>
      </c>
      <c r="F200" s="15">
        <v>44382</v>
      </c>
      <c r="G200" s="16">
        <v>0.3</v>
      </c>
      <c r="H200" s="15"/>
      <c r="I200" s="16"/>
      <c r="J200" s="15"/>
      <c r="K200" s="16"/>
      <c r="L200" s="15"/>
      <c r="M200" s="63"/>
      <c r="N200" s="17"/>
      <c r="O200" s="16"/>
      <c r="P200" s="16"/>
      <c r="Q200" s="152">
        <f t="shared" si="70"/>
        <v>0</v>
      </c>
      <c r="R200" s="152">
        <f t="shared" si="71"/>
        <v>0</v>
      </c>
      <c r="S200" s="152">
        <f t="shared" si="72"/>
        <v>0.3</v>
      </c>
      <c r="T200" s="18">
        <f t="shared" si="73"/>
        <v>0.3</v>
      </c>
    </row>
    <row r="201" spans="2:20" x14ac:dyDescent="0.25">
      <c r="B201" s="117" t="s">
        <v>388</v>
      </c>
      <c r="C201" s="136" t="s">
        <v>389</v>
      </c>
      <c r="D201" s="14" t="s">
        <v>15</v>
      </c>
      <c r="E201" s="14" t="s">
        <v>761</v>
      </c>
      <c r="F201" s="147">
        <v>44259</v>
      </c>
      <c r="G201" s="148">
        <f>221.86*0.98872987*0.97714299</f>
        <v>214.34570418264636</v>
      </c>
      <c r="H201" s="147">
        <v>44420</v>
      </c>
      <c r="I201" s="148">
        <f>270.84*0.97714299</f>
        <v>264.64940741160001</v>
      </c>
      <c r="J201" s="15"/>
      <c r="K201" s="16"/>
      <c r="L201" s="15"/>
      <c r="M201" s="63"/>
      <c r="N201" s="17"/>
      <c r="O201" s="16"/>
      <c r="P201" s="16"/>
      <c r="Q201" s="152">
        <f t="shared" si="70"/>
        <v>214.34570418264636</v>
      </c>
      <c r="R201" s="152">
        <f t="shared" si="71"/>
        <v>214.34570418264636</v>
      </c>
      <c r="S201" s="152">
        <f t="shared" si="72"/>
        <v>478.9951115942464</v>
      </c>
      <c r="T201" s="18">
        <f t="shared" si="73"/>
        <v>478.9951115942464</v>
      </c>
    </row>
    <row r="202" spans="2:20" x14ac:dyDescent="0.25">
      <c r="B202" s="117" t="s">
        <v>390</v>
      </c>
      <c r="C202" s="136" t="s">
        <v>391</v>
      </c>
      <c r="D202" s="14" t="s">
        <v>15</v>
      </c>
      <c r="E202" s="14" t="s">
        <v>21</v>
      </c>
      <c r="F202" s="15">
        <v>44273</v>
      </c>
      <c r="G202" s="16">
        <v>9.1</v>
      </c>
      <c r="H202" s="15"/>
      <c r="I202" s="16"/>
      <c r="J202" s="15"/>
      <c r="K202" s="16"/>
      <c r="L202" s="15"/>
      <c r="M202" s="63"/>
      <c r="N202" s="17"/>
      <c r="O202" s="16"/>
      <c r="P202" s="16"/>
      <c r="Q202" s="152">
        <f t="shared" si="70"/>
        <v>9.1</v>
      </c>
      <c r="R202" s="152">
        <f t="shared" si="71"/>
        <v>9.1</v>
      </c>
      <c r="S202" s="152">
        <f t="shared" si="72"/>
        <v>9.1</v>
      </c>
      <c r="T202" s="18">
        <f t="shared" si="73"/>
        <v>9.1</v>
      </c>
    </row>
    <row r="203" spans="2:20" x14ac:dyDescent="0.25">
      <c r="B203" s="117" t="s">
        <v>392</v>
      </c>
      <c r="C203" s="136" t="s">
        <v>393</v>
      </c>
      <c r="D203" s="14" t="s">
        <v>15</v>
      </c>
      <c r="E203" s="14" t="s">
        <v>761</v>
      </c>
      <c r="F203" s="15"/>
      <c r="G203" s="16"/>
      <c r="H203" s="15"/>
      <c r="I203" s="16"/>
      <c r="J203" s="15"/>
      <c r="K203" s="16"/>
      <c r="L203" s="15"/>
      <c r="M203" s="63"/>
      <c r="N203" s="17"/>
      <c r="O203" s="16"/>
      <c r="P203" s="16"/>
      <c r="Q203" s="152">
        <f t="shared" si="70"/>
        <v>0</v>
      </c>
      <c r="R203" s="152">
        <f t="shared" si="71"/>
        <v>0</v>
      </c>
      <c r="S203" s="152">
        <f t="shared" si="72"/>
        <v>0</v>
      </c>
      <c r="T203" s="18">
        <f t="shared" si="73"/>
        <v>0</v>
      </c>
    </row>
    <row r="204" spans="2:20" x14ac:dyDescent="0.25">
      <c r="B204" s="117" t="s">
        <v>394</v>
      </c>
      <c r="C204" s="136" t="s">
        <v>395</v>
      </c>
      <c r="D204" s="14" t="s">
        <v>15</v>
      </c>
      <c r="E204" s="14" t="s">
        <v>16</v>
      </c>
      <c r="F204" s="15">
        <v>44245</v>
      </c>
      <c r="G204" s="16">
        <v>0.1396</v>
      </c>
      <c r="H204" s="15">
        <v>44329</v>
      </c>
      <c r="I204" s="16">
        <v>0.1426</v>
      </c>
      <c r="J204" s="15">
        <v>44420</v>
      </c>
      <c r="K204" s="16">
        <v>0.2024</v>
      </c>
      <c r="L204" s="15">
        <v>44511</v>
      </c>
      <c r="M204" s="63">
        <v>0.21210000000000001</v>
      </c>
      <c r="N204" s="17"/>
      <c r="O204" s="16"/>
      <c r="P204" s="16"/>
      <c r="Q204" s="152">
        <f t="shared" si="70"/>
        <v>0.1396</v>
      </c>
      <c r="R204" s="152">
        <f t="shared" si="71"/>
        <v>0.28220000000000001</v>
      </c>
      <c r="S204" s="152">
        <f t="shared" si="72"/>
        <v>0.48460000000000003</v>
      </c>
      <c r="T204" s="18">
        <f t="shared" si="73"/>
        <v>0.6967000000000001</v>
      </c>
    </row>
    <row r="205" spans="2:20" x14ac:dyDescent="0.25">
      <c r="B205" s="117" t="s">
        <v>396</v>
      </c>
      <c r="C205" s="136" t="s">
        <v>397</v>
      </c>
      <c r="D205" s="14" t="s">
        <v>15</v>
      </c>
      <c r="E205" s="14" t="s">
        <v>16</v>
      </c>
      <c r="F205" s="15">
        <v>44315</v>
      </c>
      <c r="G205" s="16">
        <v>0.85</v>
      </c>
      <c r="H205" s="15"/>
      <c r="I205" s="16"/>
      <c r="J205" s="15"/>
      <c r="K205" s="16"/>
      <c r="L205" s="15"/>
      <c r="M205" s="63"/>
      <c r="N205" s="17"/>
      <c r="O205" s="16"/>
      <c r="P205" s="16"/>
      <c r="Q205" s="152">
        <f t="shared" si="70"/>
        <v>0</v>
      </c>
      <c r="R205" s="152">
        <f t="shared" si="71"/>
        <v>0.85</v>
      </c>
      <c r="S205" s="152">
        <f t="shared" si="72"/>
        <v>0.85</v>
      </c>
      <c r="T205" s="18">
        <f t="shared" si="73"/>
        <v>0.85</v>
      </c>
    </row>
    <row r="206" spans="2:20" x14ac:dyDescent="0.25">
      <c r="B206" s="117" t="s">
        <v>398</v>
      </c>
      <c r="C206" s="136" t="s">
        <v>399</v>
      </c>
      <c r="D206" s="14" t="s">
        <v>24</v>
      </c>
      <c r="E206" s="14" t="s">
        <v>16</v>
      </c>
      <c r="F206" s="15">
        <v>44347</v>
      </c>
      <c r="G206" s="16">
        <v>0.43</v>
      </c>
      <c r="H206" s="15"/>
      <c r="I206" s="16"/>
      <c r="J206" s="15"/>
      <c r="K206" s="16"/>
      <c r="L206" s="15"/>
      <c r="M206" s="63"/>
      <c r="N206" s="17"/>
      <c r="O206" s="16"/>
      <c r="P206" s="16"/>
      <c r="Q206" s="152">
        <f t="shared" si="70"/>
        <v>0</v>
      </c>
      <c r="R206" s="152">
        <f t="shared" si="71"/>
        <v>0.43</v>
      </c>
      <c r="S206" s="152">
        <f t="shared" si="72"/>
        <v>0.43</v>
      </c>
      <c r="T206" s="18">
        <f t="shared" si="73"/>
        <v>0.43</v>
      </c>
    </row>
    <row r="207" spans="2:20" x14ac:dyDescent="0.25">
      <c r="B207" s="117" t="s">
        <v>400</v>
      </c>
      <c r="C207" s="136" t="s">
        <v>401</v>
      </c>
      <c r="D207" s="14" t="s">
        <v>24</v>
      </c>
      <c r="E207" s="14" t="s">
        <v>16</v>
      </c>
      <c r="F207" s="15">
        <v>44354</v>
      </c>
      <c r="G207" s="16">
        <v>1.33</v>
      </c>
      <c r="H207" s="15"/>
      <c r="I207" s="16"/>
      <c r="J207" s="15"/>
      <c r="K207" s="16"/>
      <c r="L207" s="15"/>
      <c r="M207" s="63"/>
      <c r="N207" s="17"/>
      <c r="O207" s="16"/>
      <c r="P207" s="16"/>
      <c r="Q207" s="152">
        <f t="shared" si="70"/>
        <v>0</v>
      </c>
      <c r="R207" s="152">
        <f t="shared" si="71"/>
        <v>1.33</v>
      </c>
      <c r="S207" s="152">
        <f t="shared" si="72"/>
        <v>1.33</v>
      </c>
      <c r="T207" s="18">
        <f t="shared" si="73"/>
        <v>1.33</v>
      </c>
    </row>
    <row r="208" spans="2:20" x14ac:dyDescent="0.25">
      <c r="B208" s="117" t="s">
        <v>402</v>
      </c>
      <c r="C208" s="136" t="s">
        <v>403</v>
      </c>
      <c r="D208" s="14" t="s">
        <v>15</v>
      </c>
      <c r="E208" s="14" t="s">
        <v>16</v>
      </c>
      <c r="F208" s="15"/>
      <c r="G208" s="16"/>
      <c r="H208" s="15"/>
      <c r="I208" s="16"/>
      <c r="J208" s="15"/>
      <c r="K208" s="16"/>
      <c r="L208" s="15"/>
      <c r="M208" s="63"/>
      <c r="N208" s="17"/>
      <c r="O208" s="16"/>
      <c r="P208" s="16"/>
      <c r="Q208" s="152">
        <f t="shared" si="70"/>
        <v>0</v>
      </c>
      <c r="R208" s="152">
        <f t="shared" si="71"/>
        <v>0</v>
      </c>
      <c r="S208" s="152">
        <f t="shared" si="72"/>
        <v>0</v>
      </c>
      <c r="T208" s="18">
        <f t="shared" si="73"/>
        <v>0</v>
      </c>
    </row>
    <row r="209" spans="2:20" x14ac:dyDescent="0.25">
      <c r="B209" s="117" t="s">
        <v>404</v>
      </c>
      <c r="C209" s="136" t="s">
        <v>405</v>
      </c>
      <c r="D209" s="14" t="s">
        <v>15</v>
      </c>
      <c r="E209" s="14" t="s">
        <v>16</v>
      </c>
      <c r="F209" s="15">
        <v>44336</v>
      </c>
      <c r="G209" s="16">
        <v>1.7</v>
      </c>
      <c r="H209" s="15"/>
      <c r="I209" s="16"/>
      <c r="J209" s="15"/>
      <c r="K209" s="16"/>
      <c r="L209" s="15"/>
      <c r="M209" s="63"/>
      <c r="N209" s="17"/>
      <c r="O209" s="16"/>
      <c r="P209" s="16"/>
      <c r="Q209" s="152">
        <f t="shared" si="70"/>
        <v>0</v>
      </c>
      <c r="R209" s="152">
        <f t="shared" si="71"/>
        <v>1.7</v>
      </c>
      <c r="S209" s="152">
        <f t="shared" si="72"/>
        <v>1.7</v>
      </c>
      <c r="T209" s="18">
        <f t="shared" si="73"/>
        <v>1.7</v>
      </c>
    </row>
    <row r="210" spans="2:20" x14ac:dyDescent="0.25">
      <c r="B210" s="117" t="s">
        <v>406</v>
      </c>
      <c r="C210" s="136" t="s">
        <v>407</v>
      </c>
      <c r="D210" s="14" t="s">
        <v>24</v>
      </c>
      <c r="E210" s="14" t="s">
        <v>16</v>
      </c>
      <c r="F210" s="15">
        <v>44321</v>
      </c>
      <c r="G210" s="16">
        <v>3.2</v>
      </c>
      <c r="H210" s="15"/>
      <c r="I210" s="16"/>
      <c r="J210" s="15"/>
      <c r="K210" s="16"/>
      <c r="L210" s="15"/>
      <c r="M210" s="63"/>
      <c r="N210" s="17"/>
      <c r="O210" s="16"/>
      <c r="P210" s="16"/>
      <c r="Q210" s="152">
        <f t="shared" si="70"/>
        <v>0</v>
      </c>
      <c r="R210" s="152">
        <f t="shared" si="71"/>
        <v>3.2</v>
      </c>
      <c r="S210" s="152">
        <f t="shared" si="72"/>
        <v>3.2</v>
      </c>
      <c r="T210" s="18">
        <f t="shared" si="73"/>
        <v>3.2</v>
      </c>
    </row>
    <row r="211" spans="2:20" x14ac:dyDescent="0.25">
      <c r="B211" s="117" t="s">
        <v>408</v>
      </c>
      <c r="C211" s="136" t="s">
        <v>409</v>
      </c>
      <c r="D211" s="14" t="s">
        <v>15</v>
      </c>
      <c r="E211" s="14" t="s">
        <v>16</v>
      </c>
      <c r="F211" s="15">
        <v>44329</v>
      </c>
      <c r="G211" s="16">
        <v>1.85</v>
      </c>
      <c r="H211" s="15"/>
      <c r="I211" s="16"/>
      <c r="J211" s="15"/>
      <c r="K211" s="16"/>
      <c r="L211" s="15"/>
      <c r="M211" s="63"/>
      <c r="N211" s="17"/>
      <c r="O211" s="16"/>
      <c r="P211" s="16"/>
      <c r="Q211" s="152">
        <f t="shared" si="70"/>
        <v>0</v>
      </c>
      <c r="R211" s="152">
        <f t="shared" si="71"/>
        <v>1.85</v>
      </c>
      <c r="S211" s="152">
        <f t="shared" si="72"/>
        <v>1.85</v>
      </c>
      <c r="T211" s="18">
        <f t="shared" si="73"/>
        <v>1.85</v>
      </c>
    </row>
    <row r="212" spans="2:20" x14ac:dyDescent="0.25">
      <c r="B212" s="117" t="s">
        <v>410</v>
      </c>
      <c r="C212" s="136" t="s">
        <v>411</v>
      </c>
      <c r="D212" s="14" t="s">
        <v>15</v>
      </c>
      <c r="E212" s="14" t="s">
        <v>16</v>
      </c>
      <c r="F212" s="15">
        <v>44295</v>
      </c>
      <c r="G212" s="16">
        <v>0.74390000000000001</v>
      </c>
      <c r="H212" s="15"/>
      <c r="I212" s="16"/>
      <c r="J212" s="15"/>
      <c r="K212" s="16"/>
      <c r="L212" s="15"/>
      <c r="M212" s="63"/>
      <c r="N212" s="17"/>
      <c r="O212" s="16"/>
      <c r="P212" s="16"/>
      <c r="Q212" s="152">
        <f t="shared" si="70"/>
        <v>0</v>
      </c>
      <c r="R212" s="152">
        <f t="shared" si="71"/>
        <v>0.74390000000000001</v>
      </c>
      <c r="S212" s="152">
        <f t="shared" si="72"/>
        <v>0.74390000000000001</v>
      </c>
      <c r="T212" s="18">
        <f t="shared" si="73"/>
        <v>0.74390000000000001</v>
      </c>
    </row>
    <row r="213" spans="2:20" x14ac:dyDescent="0.25">
      <c r="B213" s="117" t="s">
        <v>412</v>
      </c>
      <c r="C213" s="136" t="s">
        <v>413</v>
      </c>
      <c r="D213" s="14" t="s">
        <v>24</v>
      </c>
      <c r="E213" s="14" t="s">
        <v>16</v>
      </c>
      <c r="F213" s="15">
        <v>44326</v>
      </c>
      <c r="G213" s="16">
        <v>2.6</v>
      </c>
      <c r="H213" s="15"/>
      <c r="I213" s="16"/>
      <c r="J213" s="15"/>
      <c r="K213" s="16"/>
      <c r="L213" s="15"/>
      <c r="M213" s="63"/>
      <c r="N213" s="17"/>
      <c r="O213" s="16"/>
      <c r="P213" s="16"/>
      <c r="Q213" s="152">
        <f>IF(F213&lt;=ExpQ1,G213,0)+IF(H213&lt;=ExpQ1,I213,0)+IF(J213&lt;=ExpQ1,K213,0)+IF(L213&lt;=ExpQ1,M213,0)+IF(N213&lt;=ExpQ1,O213,0)</f>
        <v>0</v>
      </c>
      <c r="R213" s="152">
        <f t="shared" si="71"/>
        <v>2.6</v>
      </c>
      <c r="S213" s="152">
        <f t="shared" si="72"/>
        <v>2.6</v>
      </c>
      <c r="T213" s="18">
        <f t="shared" si="73"/>
        <v>2.6</v>
      </c>
    </row>
    <row r="214" spans="2:20" x14ac:dyDescent="0.25">
      <c r="B214" s="117" t="s">
        <v>414</v>
      </c>
      <c r="C214" s="136" t="s">
        <v>415</v>
      </c>
      <c r="D214" s="14" t="s">
        <v>24</v>
      </c>
      <c r="E214" s="14" t="s">
        <v>16</v>
      </c>
      <c r="F214" s="15">
        <v>44379</v>
      </c>
      <c r="G214" s="16">
        <v>1.8</v>
      </c>
      <c r="H214" s="15"/>
      <c r="I214" s="16"/>
      <c r="J214" s="15"/>
      <c r="K214" s="16"/>
      <c r="L214" s="15"/>
      <c r="M214" s="63"/>
      <c r="N214" s="17"/>
      <c r="O214" s="16"/>
      <c r="P214" s="16"/>
      <c r="Q214" s="152">
        <f t="shared" si="70"/>
        <v>0</v>
      </c>
      <c r="R214" s="152">
        <f t="shared" si="71"/>
        <v>0</v>
      </c>
      <c r="S214" s="152">
        <f t="shared" si="72"/>
        <v>1.8</v>
      </c>
      <c r="T214" s="18">
        <f t="shared" si="73"/>
        <v>1.8</v>
      </c>
    </row>
    <row r="215" spans="2:20" x14ac:dyDescent="0.25">
      <c r="B215" s="117" t="s">
        <v>418</v>
      </c>
      <c r="C215" s="136" t="s">
        <v>419</v>
      </c>
      <c r="D215" s="14" t="s">
        <v>15</v>
      </c>
      <c r="E215" s="14" t="s">
        <v>761</v>
      </c>
      <c r="F215" s="15">
        <v>44342</v>
      </c>
      <c r="G215" s="16">
        <v>60.95</v>
      </c>
      <c r="H215" s="15">
        <v>44532</v>
      </c>
      <c r="I215" s="16">
        <v>40.86</v>
      </c>
      <c r="J215" s="15"/>
      <c r="K215" s="16"/>
      <c r="L215" s="15"/>
      <c r="M215" s="63"/>
      <c r="N215" s="17"/>
      <c r="O215" s="16"/>
      <c r="P215" s="16"/>
      <c r="Q215" s="152">
        <f t="shared" si="70"/>
        <v>0</v>
      </c>
      <c r="R215" s="152">
        <f t="shared" si="71"/>
        <v>60.95</v>
      </c>
      <c r="S215" s="152">
        <f t="shared" si="72"/>
        <v>60.95</v>
      </c>
      <c r="T215" s="18">
        <f t="shared" si="73"/>
        <v>101.81</v>
      </c>
    </row>
    <row r="216" spans="2:20" x14ac:dyDescent="0.25">
      <c r="B216" s="155" t="s">
        <v>420</v>
      </c>
      <c r="C216" s="156" t="s">
        <v>421</v>
      </c>
      <c r="D216" s="39" t="s">
        <v>15</v>
      </c>
      <c r="E216" s="39" t="s">
        <v>21</v>
      </c>
      <c r="F216" s="40">
        <v>44280</v>
      </c>
      <c r="G216" s="41">
        <v>80</v>
      </c>
      <c r="H216" s="40"/>
      <c r="I216" s="41"/>
      <c r="J216" s="40"/>
      <c r="K216" s="41"/>
      <c r="L216" s="40"/>
      <c r="M216" s="79"/>
      <c r="N216" s="42"/>
      <c r="O216" s="41"/>
      <c r="P216" s="41"/>
      <c r="Q216" s="157">
        <f t="shared" si="70"/>
        <v>0</v>
      </c>
      <c r="R216" s="157">
        <f t="shared" si="71"/>
        <v>80</v>
      </c>
      <c r="S216" s="157">
        <f t="shared" si="72"/>
        <v>80</v>
      </c>
      <c r="T216" s="43">
        <f t="shared" si="73"/>
        <v>80</v>
      </c>
    </row>
    <row r="217" spans="2:20" x14ac:dyDescent="0.25">
      <c r="B217" s="117" t="s">
        <v>738</v>
      </c>
      <c r="C217" s="136" t="s">
        <v>740</v>
      </c>
      <c r="D217" s="39" t="s">
        <v>15</v>
      </c>
      <c r="E217" s="14" t="s">
        <v>16</v>
      </c>
      <c r="F217" s="15">
        <v>44231</v>
      </c>
      <c r="G217" s="16">
        <v>3.5</v>
      </c>
      <c r="H217" s="15"/>
      <c r="I217" s="16"/>
      <c r="J217" s="15"/>
      <c r="K217" s="16"/>
      <c r="L217" s="15"/>
      <c r="M217" s="63"/>
      <c r="N217" s="17"/>
      <c r="O217" s="16"/>
      <c r="P217" s="16"/>
      <c r="Q217" s="152">
        <f t="shared" ref="Q217" si="98">IF(F217&lt;=ExpQ1,G217,0)+IF(H217&lt;=ExpQ1,I217,0)+IF(J217&lt;=ExpQ1,K217,0)+IF(L217&lt;=ExpQ1,M217,0)+IF(N217&lt;=ExpQ1,O217,0)</f>
        <v>3.5</v>
      </c>
      <c r="R217" s="152">
        <f t="shared" ref="R217" si="99">IF(F217&lt;=ExpH1,G217,0)+IF(H217&lt;=ExpH1,I217,0)+IF(J217&lt;=ExpH1,K217,0)+IF(L217&lt;=ExpH1,M217,0)+IF(N217&lt;=ExpH1,O217,0)</f>
        <v>3.5</v>
      </c>
      <c r="S217" s="152">
        <f t="shared" ref="S217" si="100">IF(F217&lt;=ExpQ3,G217,0)+IF(H217&lt;=ExpQ3,I217,0)+IF(J217&lt;=ExpQ3,K217,0)+IF(L217&lt;=ExpQ3,M217,0)+IF(N217&lt;=ExpQ3,O217,0)</f>
        <v>3.5</v>
      </c>
      <c r="T217" s="18">
        <f t="shared" ref="T217:T218" si="101">G217+I217+K217+M217+O217</f>
        <v>3.5</v>
      </c>
    </row>
    <row r="218" spans="2:20" ht="15.75" thickBot="1" x14ac:dyDescent="0.3">
      <c r="B218" s="155" t="s">
        <v>739</v>
      </c>
      <c r="C218" s="156" t="s">
        <v>741</v>
      </c>
      <c r="D218" s="39" t="s">
        <v>15</v>
      </c>
      <c r="E218" s="39" t="s">
        <v>16</v>
      </c>
      <c r="F218" s="40"/>
      <c r="G218" s="41"/>
      <c r="H218" s="40"/>
      <c r="I218" s="41"/>
      <c r="J218" s="40"/>
      <c r="K218" s="41"/>
      <c r="L218" s="40"/>
      <c r="M218" s="79"/>
      <c r="N218" s="42"/>
      <c r="O218" s="41"/>
      <c r="P218" s="41"/>
      <c r="Q218" s="152">
        <f t="shared" ref="Q218" si="102">IF(F218&lt;=ExpQ1,G218,0)+IF(H218&lt;=ExpQ1,I218,0)+IF(J218&lt;=ExpQ1,K218,0)+IF(L218&lt;=ExpQ1,M218,0)+IF(N218&lt;=ExpQ1,O218,0)</f>
        <v>0</v>
      </c>
      <c r="R218" s="152">
        <f t="shared" ref="R218" si="103">IF(F218&lt;=ExpH1,G218,0)+IF(H218&lt;=ExpH1,I218,0)+IF(J218&lt;=ExpH1,K218,0)+IF(L218&lt;=ExpH1,M218,0)+IF(N218&lt;=ExpH1,O218,0)</f>
        <v>0</v>
      </c>
      <c r="S218" s="152">
        <f t="shared" ref="S218" si="104">IF(F218&lt;=ExpQ3,G218,0)+IF(H218&lt;=ExpQ3,I218,0)+IF(J218&lt;=ExpQ3,K218,0)+IF(L218&lt;=ExpQ3,M218,0)+IF(N218&lt;=ExpQ3,O218,0)</f>
        <v>0</v>
      </c>
      <c r="T218" s="43">
        <f t="shared" si="101"/>
        <v>0</v>
      </c>
    </row>
    <row r="219" spans="2:20" x14ac:dyDescent="0.25">
      <c r="B219" s="161" t="s">
        <v>722</v>
      </c>
      <c r="C219" s="162" t="s">
        <v>425</v>
      </c>
      <c r="D219" s="52" t="s">
        <v>15</v>
      </c>
      <c r="E219" s="52" t="s">
        <v>16</v>
      </c>
      <c r="F219" s="53">
        <v>44231</v>
      </c>
      <c r="G219" s="54">
        <v>3.5</v>
      </c>
      <c r="H219" s="53"/>
      <c r="I219" s="54"/>
      <c r="J219" s="53"/>
      <c r="K219" s="54"/>
      <c r="L219" s="53"/>
      <c r="M219" s="81"/>
      <c r="N219" s="55"/>
      <c r="O219" s="54"/>
      <c r="P219" s="54"/>
      <c r="Q219" s="165"/>
      <c r="R219" s="165"/>
      <c r="S219" s="165"/>
      <c r="T219" s="166"/>
    </row>
    <row r="220" spans="2:20" ht="15.75" thickBot="1" x14ac:dyDescent="0.3">
      <c r="B220" s="163" t="s">
        <v>723</v>
      </c>
      <c r="C220" s="164" t="s">
        <v>425</v>
      </c>
      <c r="D220" s="58" t="s">
        <v>15</v>
      </c>
      <c r="E220" s="58" t="s">
        <v>16</v>
      </c>
      <c r="F220" s="59"/>
      <c r="G220" s="60"/>
      <c r="H220" s="59"/>
      <c r="I220" s="60"/>
      <c r="J220" s="59"/>
      <c r="K220" s="60"/>
      <c r="L220" s="59"/>
      <c r="M220" s="82"/>
      <c r="N220" s="61"/>
      <c r="O220" s="60"/>
      <c r="P220" s="60"/>
      <c r="Q220" s="167"/>
      <c r="R220" s="167">
        <f>IF(F219&lt;=ExpH1,G219,0)+IF(H219&lt;=ExpH1,I219,0)+IF(J219&lt;=ExpH1,K219,0)+IF(L219&lt;=ExpH1,M219,0)+IF(N219&lt;=ExpH1,O219,0)+IF(F220&lt;=ExpH1,0.5*G220,0)+IF(H220&lt;=ExpH1,0.5*I220,0)+IF(J220&lt;=ExpH1,0.5*K220,0)+IF(L220&lt;=ExpH1,0.5*M220,0)+IF(N220&lt;=ExpH1,0.5*O220,0)</f>
        <v>3.5</v>
      </c>
      <c r="S220" s="167">
        <f>IF(F219&lt;=ExpQ3,G219,0)+IF(H219&lt;=ExpQ3,I219,0)+IF(J219&lt;=ExpQ3,K219,0)+IF(L219&lt;=ExpQ3,M219,0)+IF(N219&lt;=ExpQ3,O219,0)+IF(F220&lt;=ExpQ3,0.5*G220,0)+IF(H220&lt;=ExpQ3,0.5*I220,0)+IF(J220&lt;=ExpQ3,0.5*K220,0)+IF(L220&lt;=ExpQ3,0.5*M220,0)+IF(N220&lt;=ExpQ3,0.5*O220,0)</f>
        <v>3.5</v>
      </c>
      <c r="T220" s="168">
        <f>G219+I219+K219+M219+O219+0.5*(G220+I220+K220+M220+O220)</f>
        <v>3.5</v>
      </c>
    </row>
    <row r="221" spans="2:20" x14ac:dyDescent="0.25">
      <c r="B221" s="169" t="s">
        <v>771</v>
      </c>
      <c r="C221" s="162" t="s">
        <v>772</v>
      </c>
      <c r="D221" s="52" t="s">
        <v>15</v>
      </c>
      <c r="E221" s="52" t="s">
        <v>16</v>
      </c>
      <c r="F221" s="53">
        <v>44336</v>
      </c>
      <c r="G221" s="54">
        <v>1.35</v>
      </c>
      <c r="H221" s="53">
        <v>44336</v>
      </c>
      <c r="I221" s="54">
        <v>1.4</v>
      </c>
      <c r="J221" s="53"/>
      <c r="K221" s="54"/>
      <c r="L221" s="53"/>
      <c r="M221" s="81"/>
      <c r="N221" s="55"/>
      <c r="O221" s="54"/>
      <c r="P221" s="54"/>
      <c r="Q221" s="160">
        <f t="shared" ref="Q221" si="105">IF(F221&lt;=ExpQ1,G221,0)+IF(H221&lt;=ExpQ1,I221,0)+IF(J221&lt;=ExpQ1,K221,0)+IF(L221&lt;=ExpQ1,M221,0)+IF(N221&lt;=ExpQ1,O221,0)</f>
        <v>0</v>
      </c>
      <c r="R221" s="160">
        <f t="shared" ref="R221" si="106">IF(F221&lt;=ExpH1,G221,0)+IF(H221&lt;=ExpH1,I221,0)+IF(J221&lt;=ExpH1,K221,0)+IF(L221&lt;=ExpH1,M221,0)+IF(N221&lt;=ExpH1,O221,0)</f>
        <v>2.75</v>
      </c>
      <c r="S221" s="160">
        <f t="shared" ref="S221" si="107">IF(F221&lt;=ExpQ3,G221,0)+IF(H221&lt;=ExpQ3,I221,0)+IF(J221&lt;=ExpQ3,K221,0)+IF(L221&lt;=ExpQ3,M221,0)+IF(N221&lt;=ExpQ3,O221,0)</f>
        <v>2.75</v>
      </c>
      <c r="T221" s="49">
        <f t="shared" ref="T221" si="108">G221+I221+K221+M221+O221</f>
        <v>2.75</v>
      </c>
    </row>
    <row r="222" spans="2:20" x14ac:dyDescent="0.25">
      <c r="B222" s="158" t="s">
        <v>426</v>
      </c>
      <c r="C222" s="159" t="s">
        <v>427</v>
      </c>
      <c r="D222" s="45" t="s">
        <v>15</v>
      </c>
      <c r="E222" s="45" t="s">
        <v>200</v>
      </c>
      <c r="F222" s="46">
        <v>44286</v>
      </c>
      <c r="G222" s="47">
        <v>4.0999999999999996</v>
      </c>
      <c r="H222" s="46">
        <v>44515</v>
      </c>
      <c r="I222" s="47">
        <v>4.0999999999999996</v>
      </c>
      <c r="J222" s="46"/>
      <c r="K222" s="47"/>
      <c r="L222" s="46"/>
      <c r="M222" s="80"/>
      <c r="N222" s="48"/>
      <c r="O222" s="47"/>
      <c r="P222" s="47"/>
      <c r="Q222" s="160">
        <f t="shared" si="70"/>
        <v>0</v>
      </c>
      <c r="R222" s="160">
        <f t="shared" si="71"/>
        <v>4.0999999999999996</v>
      </c>
      <c r="S222" s="160">
        <f t="shared" si="72"/>
        <v>4.0999999999999996</v>
      </c>
      <c r="T222" s="49">
        <f t="shared" si="73"/>
        <v>8.1999999999999993</v>
      </c>
    </row>
    <row r="223" spans="2:20" x14ac:dyDescent="0.25">
      <c r="B223" s="117" t="s">
        <v>430</v>
      </c>
      <c r="C223" s="136" t="s">
        <v>431</v>
      </c>
      <c r="D223" s="14" t="s">
        <v>15</v>
      </c>
      <c r="E223" s="14" t="s">
        <v>16</v>
      </c>
      <c r="F223" s="15">
        <v>44214</v>
      </c>
      <c r="G223" s="16">
        <v>9.98E-2</v>
      </c>
      <c r="H223" s="15">
        <v>44368</v>
      </c>
      <c r="I223" s="16">
        <v>0.1497</v>
      </c>
      <c r="J223" s="15"/>
      <c r="K223" s="16"/>
      <c r="L223" s="15"/>
      <c r="M223" s="63"/>
      <c r="N223" s="17"/>
      <c r="O223" s="16"/>
      <c r="P223" s="16"/>
      <c r="Q223" s="152">
        <f t="shared" si="70"/>
        <v>9.98E-2</v>
      </c>
      <c r="R223" s="152">
        <f t="shared" si="71"/>
        <v>9.98E-2</v>
      </c>
      <c r="S223" s="152">
        <f t="shared" si="72"/>
        <v>0.2495</v>
      </c>
      <c r="T223" s="18">
        <f t="shared" si="73"/>
        <v>0.2495</v>
      </c>
    </row>
    <row r="224" spans="2:20" x14ac:dyDescent="0.25">
      <c r="B224" s="117" t="s">
        <v>435</v>
      </c>
      <c r="C224" s="136" t="s">
        <v>436</v>
      </c>
      <c r="D224" s="14" t="s">
        <v>24</v>
      </c>
      <c r="E224" s="14" t="s">
        <v>16</v>
      </c>
      <c r="F224" s="15">
        <v>44341</v>
      </c>
      <c r="G224" s="16">
        <v>0.55000000000000004</v>
      </c>
      <c r="H224" s="15"/>
      <c r="I224" s="16"/>
      <c r="J224" s="15"/>
      <c r="K224" s="16"/>
      <c r="L224" s="15"/>
      <c r="M224" s="63"/>
      <c r="N224" s="17"/>
      <c r="O224" s="16"/>
      <c r="P224" s="16"/>
      <c r="Q224" s="152">
        <f t="shared" si="70"/>
        <v>0</v>
      </c>
      <c r="R224" s="152">
        <f t="shared" si="71"/>
        <v>0.55000000000000004</v>
      </c>
      <c r="S224" s="152">
        <f t="shared" si="72"/>
        <v>0.55000000000000004</v>
      </c>
      <c r="T224" s="18">
        <f t="shared" si="73"/>
        <v>0.55000000000000004</v>
      </c>
    </row>
    <row r="225" spans="2:20" x14ac:dyDescent="0.25">
      <c r="B225" s="117" t="s">
        <v>437</v>
      </c>
      <c r="C225" s="136" t="s">
        <v>438</v>
      </c>
      <c r="D225" s="14" t="s">
        <v>24</v>
      </c>
      <c r="E225" s="14" t="s">
        <v>16</v>
      </c>
      <c r="F225" s="15">
        <v>44547</v>
      </c>
      <c r="G225" s="16">
        <f>1.2*0.98909785</f>
        <v>1.1869174199999999</v>
      </c>
      <c r="H225" s="15"/>
      <c r="I225" s="16"/>
      <c r="J225" s="15"/>
      <c r="K225" s="16"/>
      <c r="L225" s="15"/>
      <c r="M225" s="63"/>
      <c r="N225" s="17"/>
      <c r="O225" s="16"/>
      <c r="P225" s="16"/>
      <c r="Q225" s="152">
        <f t="shared" si="70"/>
        <v>0</v>
      </c>
      <c r="R225" s="152">
        <f t="shared" si="71"/>
        <v>0</v>
      </c>
      <c r="S225" s="152">
        <f t="shared" si="72"/>
        <v>0</v>
      </c>
      <c r="T225" s="18">
        <f t="shared" si="73"/>
        <v>1.1869174199999999</v>
      </c>
    </row>
    <row r="226" spans="2:20" x14ac:dyDescent="0.25">
      <c r="B226" s="117" t="s">
        <v>439</v>
      </c>
      <c r="C226" s="136" t="s">
        <v>440</v>
      </c>
      <c r="D226" s="14" t="s">
        <v>27</v>
      </c>
      <c r="E226" s="14" t="s">
        <v>16</v>
      </c>
      <c r="F226" s="15">
        <v>44210</v>
      </c>
      <c r="G226" s="16">
        <v>1.5</v>
      </c>
      <c r="H226" s="15">
        <v>44303</v>
      </c>
      <c r="I226" s="16">
        <v>2.25</v>
      </c>
      <c r="J226" s="15"/>
      <c r="K226" s="16"/>
      <c r="L226" s="15"/>
      <c r="M226" s="63"/>
      <c r="N226" s="17"/>
      <c r="O226" s="16"/>
      <c r="P226" s="16"/>
      <c r="Q226" s="152">
        <f t="shared" si="70"/>
        <v>1.5</v>
      </c>
      <c r="R226" s="152">
        <f t="shared" si="71"/>
        <v>3.75</v>
      </c>
      <c r="S226" s="152">
        <f t="shared" si="72"/>
        <v>3.75</v>
      </c>
      <c r="T226" s="18">
        <f t="shared" si="73"/>
        <v>3.75</v>
      </c>
    </row>
    <row r="227" spans="2:20" x14ac:dyDescent="0.25">
      <c r="B227" s="117" t="s">
        <v>445</v>
      </c>
      <c r="C227" s="136" t="s">
        <v>446</v>
      </c>
      <c r="D227" s="14" t="s">
        <v>15</v>
      </c>
      <c r="E227" s="14" t="s">
        <v>761</v>
      </c>
      <c r="F227" s="15">
        <v>44210</v>
      </c>
      <c r="G227" s="16">
        <v>24.4</v>
      </c>
      <c r="H227" s="15">
        <v>44406</v>
      </c>
      <c r="I227" s="16">
        <v>56.6</v>
      </c>
      <c r="J227" s="15"/>
      <c r="K227" s="16"/>
      <c r="L227" s="15"/>
      <c r="M227" s="63"/>
      <c r="N227" s="17"/>
      <c r="O227" s="16"/>
      <c r="P227" s="16"/>
      <c r="Q227" s="152">
        <f t="shared" si="70"/>
        <v>24.4</v>
      </c>
      <c r="R227" s="152">
        <f t="shared" si="71"/>
        <v>24.4</v>
      </c>
      <c r="S227" s="152">
        <f t="shared" si="72"/>
        <v>81</v>
      </c>
      <c r="T227" s="18">
        <f t="shared" si="73"/>
        <v>81</v>
      </c>
    </row>
    <row r="228" spans="2:20" x14ac:dyDescent="0.25">
      <c r="B228" s="117" t="s">
        <v>447</v>
      </c>
      <c r="C228" s="136" t="s">
        <v>448</v>
      </c>
      <c r="D228" s="14" t="s">
        <v>15</v>
      </c>
      <c r="E228" s="14" t="s">
        <v>56</v>
      </c>
      <c r="F228" s="15">
        <v>44259</v>
      </c>
      <c r="G228" s="16">
        <v>0.09</v>
      </c>
      <c r="H228" s="15">
        <v>44420</v>
      </c>
      <c r="I228" s="16">
        <v>0.03</v>
      </c>
      <c r="J228" s="15"/>
      <c r="K228" s="16"/>
      <c r="L228" s="15"/>
      <c r="M228" s="63"/>
      <c r="N228" s="17"/>
      <c r="O228" s="16"/>
      <c r="P228" s="16"/>
      <c r="Q228" s="152">
        <f t="shared" si="70"/>
        <v>0.09</v>
      </c>
      <c r="R228" s="152">
        <f t="shared" si="71"/>
        <v>0.09</v>
      </c>
      <c r="S228" s="152">
        <f t="shared" si="72"/>
        <v>0.12</v>
      </c>
      <c r="T228" s="18">
        <f t="shared" si="73"/>
        <v>0.12</v>
      </c>
    </row>
    <row r="229" spans="2:20" x14ac:dyDescent="0.25">
      <c r="B229" s="117" t="s">
        <v>733</v>
      </c>
      <c r="C229" s="136" t="s">
        <v>629</v>
      </c>
      <c r="D229" s="14" t="s">
        <v>15</v>
      </c>
      <c r="E229" s="14" t="s">
        <v>16</v>
      </c>
      <c r="F229" s="15"/>
      <c r="G229" s="16"/>
      <c r="H229" s="15"/>
      <c r="I229" s="16"/>
      <c r="J229" s="15"/>
      <c r="K229" s="16"/>
      <c r="L229" s="15"/>
      <c r="M229" s="63"/>
      <c r="N229" s="17"/>
      <c r="O229" s="16"/>
      <c r="P229" s="16"/>
      <c r="Q229" s="152">
        <f>IF(F229&lt;=ExpQ1,G229,0)+IF(H229&lt;=ExpQ1,I229,0)+IF(J229&lt;=ExpQ1,K229,0)+IF(L229&lt;=ExpQ1,M229,0)+IF(N229&lt;=ExpQ1,O229,0)</f>
        <v>0</v>
      </c>
      <c r="R229" s="152">
        <f>IF(F229&lt;=ExpH1,G229,0)+IF(H229&lt;=ExpH1,I229,0)+IF(J229&lt;=ExpH1,K229,0)+IF(L229&lt;=ExpH1,M229,0)+IF(N229&lt;=ExpH1,O229,0)</f>
        <v>0</v>
      </c>
      <c r="S229" s="152">
        <f>IF(F229&lt;=ExpQ3,G229,0)+IF(H229&lt;=ExpQ3,I229,0)+IF(J229&lt;=ExpQ3,K229,0)+IF(L229&lt;=ExpQ3,M229,0)+IF(N229&lt;=ExpQ3,O229,0)</f>
        <v>0</v>
      </c>
      <c r="T229" s="18">
        <f t="shared" ref="T229:T234" si="109">G229+I229+K229+M229+O229</f>
        <v>0</v>
      </c>
    </row>
    <row r="230" spans="2:20" x14ac:dyDescent="0.25">
      <c r="B230" s="117" t="s">
        <v>762</v>
      </c>
      <c r="C230" s="136" t="s">
        <v>685</v>
      </c>
      <c r="D230" s="14" t="s">
        <v>15</v>
      </c>
      <c r="E230" s="14" t="s">
        <v>16</v>
      </c>
      <c r="F230" s="15"/>
      <c r="G230" s="16"/>
      <c r="H230" s="15"/>
      <c r="I230" s="16"/>
      <c r="J230" s="15"/>
      <c r="K230" s="16"/>
      <c r="L230" s="15"/>
      <c r="M230" s="63"/>
      <c r="N230" s="17"/>
      <c r="O230" s="16"/>
      <c r="P230" s="16"/>
      <c r="Q230" s="152"/>
      <c r="R230" s="152"/>
      <c r="S230" s="152"/>
      <c r="T230" s="18">
        <f t="shared" si="109"/>
        <v>0</v>
      </c>
    </row>
    <row r="231" spans="2:20" x14ac:dyDescent="0.25">
      <c r="B231" s="117" t="s">
        <v>763</v>
      </c>
      <c r="C231" s="136" t="s">
        <v>746</v>
      </c>
      <c r="D231" s="14" t="s">
        <v>15</v>
      </c>
      <c r="E231" s="14" t="s">
        <v>16</v>
      </c>
      <c r="F231" s="15"/>
      <c r="G231" s="16"/>
      <c r="H231" s="15"/>
      <c r="I231" s="16"/>
      <c r="J231" s="15"/>
      <c r="K231" s="16"/>
      <c r="L231" s="15"/>
      <c r="M231" s="63"/>
      <c r="N231" s="17"/>
      <c r="O231" s="16"/>
      <c r="P231" s="16"/>
      <c r="Q231" s="152"/>
      <c r="R231" s="152"/>
      <c r="S231" s="152"/>
      <c r="T231" s="18">
        <f t="shared" si="109"/>
        <v>0</v>
      </c>
    </row>
    <row r="232" spans="2:20" x14ac:dyDescent="0.25">
      <c r="B232" s="117" t="s">
        <v>764</v>
      </c>
      <c r="C232" s="136" t="s">
        <v>765</v>
      </c>
      <c r="D232" s="14" t="s">
        <v>15</v>
      </c>
      <c r="E232" s="14" t="s">
        <v>16</v>
      </c>
      <c r="F232" s="15"/>
      <c r="G232" s="16"/>
      <c r="H232" s="15"/>
      <c r="I232" s="16"/>
      <c r="J232" s="15"/>
      <c r="K232" s="16"/>
      <c r="L232" s="15"/>
      <c r="M232" s="63"/>
      <c r="N232" s="17"/>
      <c r="O232" s="16"/>
      <c r="P232" s="16"/>
      <c r="Q232" s="152"/>
      <c r="R232" s="152"/>
      <c r="S232" s="152"/>
      <c r="T232" s="18">
        <f t="shared" si="109"/>
        <v>0</v>
      </c>
    </row>
    <row r="233" spans="2:20" x14ac:dyDescent="0.25">
      <c r="B233" s="117" t="s">
        <v>766</v>
      </c>
      <c r="C233" s="136" t="s">
        <v>732</v>
      </c>
      <c r="D233" s="14" t="s">
        <v>15</v>
      </c>
      <c r="E233" s="14" t="s">
        <v>16</v>
      </c>
      <c r="F233" s="15"/>
      <c r="G233" s="16"/>
      <c r="H233" s="15"/>
      <c r="I233" s="16"/>
      <c r="J233" s="15"/>
      <c r="K233" s="16"/>
      <c r="L233" s="15"/>
      <c r="M233" s="63"/>
      <c r="N233" s="17"/>
      <c r="O233" s="16"/>
      <c r="P233" s="16"/>
      <c r="Q233" s="152"/>
      <c r="R233" s="152"/>
      <c r="S233" s="152"/>
      <c r="T233" s="18">
        <f t="shared" si="109"/>
        <v>0</v>
      </c>
    </row>
    <row r="234" spans="2:20" x14ac:dyDescent="0.25">
      <c r="B234" s="117" t="s">
        <v>733</v>
      </c>
      <c r="C234" s="136" t="s">
        <v>362</v>
      </c>
      <c r="D234" s="14" t="s">
        <v>24</v>
      </c>
      <c r="E234" s="14" t="s">
        <v>16</v>
      </c>
      <c r="F234" s="15"/>
      <c r="G234" s="16"/>
      <c r="H234" s="15"/>
      <c r="I234" s="16"/>
      <c r="J234" s="15"/>
      <c r="K234" s="16"/>
      <c r="L234" s="15"/>
      <c r="M234" s="63"/>
      <c r="N234" s="17"/>
      <c r="O234" s="16"/>
      <c r="P234" s="16"/>
      <c r="Q234" s="152">
        <f>IF(F234&lt;=ExpQ1,G234,0)+IF(H234&lt;=ExpQ1,I234,0)+IF(J234&lt;=ExpQ1,K234,0)+IF(L234&lt;=ExpQ1,M234,0)+IF(N234&lt;=ExpQ1,O234,0)</f>
        <v>0</v>
      </c>
      <c r="R234" s="152">
        <f>IF(F234&lt;=ExpH1,G234,0)+IF(H234&lt;=ExpH1,I234,0)+IF(J234&lt;=ExpH1,K234,0)+IF(L234&lt;=ExpH1,M234,0)+IF(N234&lt;=ExpH1,O234,0)</f>
        <v>0</v>
      </c>
      <c r="S234" s="152">
        <f>IF(F234&lt;=ExpQ3,G234,0)+IF(H234&lt;=ExpQ3,I234,0)+IF(J234&lt;=ExpQ3,K234,0)+IF(L234&lt;=ExpQ3,M234,0)+IF(N234&lt;=ExpQ3,O234,0)</f>
        <v>0</v>
      </c>
      <c r="T234" s="18">
        <f t="shared" si="109"/>
        <v>0</v>
      </c>
    </row>
    <row r="235" spans="2:20" x14ac:dyDescent="0.25">
      <c r="B235" s="117" t="s">
        <v>451</v>
      </c>
      <c r="C235" s="136" t="s">
        <v>452</v>
      </c>
      <c r="D235" s="14" t="s">
        <v>15</v>
      </c>
      <c r="E235" s="14" t="s">
        <v>56</v>
      </c>
      <c r="F235" s="15">
        <v>44277</v>
      </c>
      <c r="G235" s="16">
        <v>4.2000000000000003E-2</v>
      </c>
      <c r="H235" s="15">
        <v>44368</v>
      </c>
      <c r="I235" s="16">
        <v>0.06</v>
      </c>
      <c r="J235" s="15">
        <v>44459</v>
      </c>
      <c r="K235" s="16">
        <v>0.06</v>
      </c>
      <c r="L235" s="15">
        <v>44543</v>
      </c>
      <c r="M235" s="63">
        <v>0.06</v>
      </c>
      <c r="N235" s="17"/>
      <c r="O235" s="16"/>
      <c r="P235" s="16"/>
      <c r="Q235" s="152">
        <f t="shared" si="70"/>
        <v>0</v>
      </c>
      <c r="R235" s="152">
        <f t="shared" si="71"/>
        <v>4.2000000000000003E-2</v>
      </c>
      <c r="S235" s="152">
        <f t="shared" si="72"/>
        <v>0.10200000000000001</v>
      </c>
      <c r="T235" s="18">
        <f t="shared" si="73"/>
        <v>0.222</v>
      </c>
    </row>
    <row r="236" spans="2:20" x14ac:dyDescent="0.25">
      <c r="B236" s="117" t="s">
        <v>453</v>
      </c>
      <c r="C236" s="136" t="s">
        <v>454</v>
      </c>
      <c r="D236" s="14" t="s">
        <v>24</v>
      </c>
      <c r="E236" s="14" t="s">
        <v>16</v>
      </c>
      <c r="F236" s="15">
        <v>44383</v>
      </c>
      <c r="G236" s="16">
        <v>0.65</v>
      </c>
      <c r="H236" s="15"/>
      <c r="I236" s="16"/>
      <c r="J236" s="15"/>
      <c r="K236" s="16"/>
      <c r="L236" s="15"/>
      <c r="M236" s="63"/>
      <c r="N236" s="17"/>
      <c r="O236" s="16"/>
      <c r="P236" s="16"/>
      <c r="Q236" s="152">
        <f t="shared" si="70"/>
        <v>0</v>
      </c>
      <c r="R236" s="152">
        <f t="shared" si="71"/>
        <v>0</v>
      </c>
      <c r="S236" s="152">
        <f t="shared" si="72"/>
        <v>0.65</v>
      </c>
      <c r="T236" s="18">
        <f t="shared" si="73"/>
        <v>0.65</v>
      </c>
    </row>
    <row r="237" spans="2:20" x14ac:dyDescent="0.25">
      <c r="B237" s="117" t="s">
        <v>455</v>
      </c>
      <c r="C237" s="136" t="s">
        <v>456</v>
      </c>
      <c r="D237" s="14" t="s">
        <v>15</v>
      </c>
      <c r="E237" s="14" t="s">
        <v>200</v>
      </c>
      <c r="F237" s="147">
        <v>44280</v>
      </c>
      <c r="G237" s="148">
        <f>0.95800658*4.1</f>
        <v>3.9278269779999997</v>
      </c>
      <c r="H237" s="15"/>
      <c r="I237" s="16"/>
      <c r="J237" s="15"/>
      <c r="K237" s="16"/>
      <c r="L237" s="15"/>
      <c r="M237" s="63"/>
      <c r="N237" s="17"/>
      <c r="O237" s="16"/>
      <c r="P237" s="16"/>
      <c r="Q237" s="152">
        <f t="shared" si="70"/>
        <v>0</v>
      </c>
      <c r="R237" s="152">
        <f t="shared" si="71"/>
        <v>3.9278269779999997</v>
      </c>
      <c r="S237" s="152">
        <f t="shared" si="72"/>
        <v>3.9278269779999997</v>
      </c>
      <c r="T237" s="18">
        <f t="shared" si="73"/>
        <v>3.9278269779999997</v>
      </c>
    </row>
    <row r="238" spans="2:20" x14ac:dyDescent="0.25">
      <c r="B238" s="117" t="s">
        <v>457</v>
      </c>
      <c r="C238" s="136" t="s">
        <v>458</v>
      </c>
      <c r="D238" s="14" t="s">
        <v>15</v>
      </c>
      <c r="E238" s="14" t="s">
        <v>200</v>
      </c>
      <c r="F238" s="15">
        <v>44243</v>
      </c>
      <c r="G238" s="16">
        <v>4.3499999999999996</v>
      </c>
      <c r="H238" s="15">
        <v>44281</v>
      </c>
      <c r="I238" s="16">
        <v>2.9</v>
      </c>
      <c r="J238" s="15">
        <v>44498</v>
      </c>
      <c r="K238" s="16">
        <v>7.3</v>
      </c>
      <c r="L238" s="15"/>
      <c r="M238" s="63"/>
      <c r="N238" s="17"/>
      <c r="O238" s="16"/>
      <c r="P238" s="16"/>
      <c r="Q238" s="152">
        <f t="shared" si="70"/>
        <v>4.3499999999999996</v>
      </c>
      <c r="R238" s="152">
        <f t="shared" si="71"/>
        <v>7.25</v>
      </c>
      <c r="S238" s="152">
        <f t="shared" si="72"/>
        <v>7.25</v>
      </c>
      <c r="T238" s="18">
        <f t="shared" si="73"/>
        <v>14.55</v>
      </c>
    </row>
    <row r="239" spans="2:20" x14ac:dyDescent="0.25">
      <c r="B239" s="117" t="s">
        <v>459</v>
      </c>
      <c r="C239" s="136" t="s">
        <v>460</v>
      </c>
      <c r="D239" s="14" t="s">
        <v>15</v>
      </c>
      <c r="E239" s="14" t="s">
        <v>200</v>
      </c>
      <c r="F239" s="147">
        <v>44300</v>
      </c>
      <c r="G239" s="148">
        <f>15/10</f>
        <v>1.5</v>
      </c>
      <c r="H239" s="15"/>
      <c r="I239" s="16"/>
      <c r="J239" s="15"/>
      <c r="K239" s="16"/>
      <c r="L239" s="15"/>
      <c r="M239" s="63"/>
      <c r="N239" s="17"/>
      <c r="O239" s="16"/>
      <c r="P239" s="16"/>
      <c r="Q239" s="152">
        <f t="shared" ref="Q239:Q283" si="110">IF(F239&lt;=ExpQ1,G239,0)+IF(H239&lt;=ExpQ1,I239,0)+IF(J239&lt;=ExpQ1,K239,0)+IF(L239&lt;=ExpQ1,M239,0)+IF(N239&lt;=ExpQ1,O239,0)</f>
        <v>0</v>
      </c>
      <c r="R239" s="152">
        <f t="shared" ref="R239:R283" si="111">IF(F239&lt;=ExpH1,G239,0)+IF(H239&lt;=ExpH1,I239,0)+IF(J239&lt;=ExpH1,K239,0)+IF(L239&lt;=ExpH1,M239,0)+IF(N239&lt;=ExpH1,O239,0)</f>
        <v>1.5</v>
      </c>
      <c r="S239" s="152">
        <f t="shared" ref="S239:S283" si="112">IF(F239&lt;=ExpQ3,G239,0)+IF(H239&lt;=ExpQ3,I239,0)+IF(J239&lt;=ExpQ3,K239,0)+IF(L239&lt;=ExpQ3,M239,0)+IF(N239&lt;=ExpQ3,O239,0)</f>
        <v>1.5</v>
      </c>
      <c r="T239" s="18">
        <f t="shared" ref="T239:T305" si="113">G239+I239+K239+M239+O239</f>
        <v>1.5</v>
      </c>
    </row>
    <row r="240" spans="2:20" x14ac:dyDescent="0.25">
      <c r="B240" s="117" t="s">
        <v>461</v>
      </c>
      <c r="C240" s="136" t="s">
        <v>462</v>
      </c>
      <c r="D240" s="14" t="s">
        <v>15</v>
      </c>
      <c r="E240" s="14" t="s">
        <v>21</v>
      </c>
      <c r="F240" s="15">
        <v>44306</v>
      </c>
      <c r="G240" s="16">
        <v>5.9</v>
      </c>
      <c r="H240" s="15"/>
      <c r="I240" s="16"/>
      <c r="J240" s="15"/>
      <c r="K240" s="16"/>
      <c r="L240" s="15"/>
      <c r="M240" s="63"/>
      <c r="N240" s="17"/>
      <c r="O240" s="16"/>
      <c r="P240" s="16"/>
      <c r="Q240" s="152">
        <f t="shared" si="110"/>
        <v>0</v>
      </c>
      <c r="R240" s="152">
        <f t="shared" si="111"/>
        <v>5.9</v>
      </c>
      <c r="S240" s="152">
        <f t="shared" si="112"/>
        <v>5.9</v>
      </c>
      <c r="T240" s="18">
        <f t="shared" si="113"/>
        <v>5.9</v>
      </c>
    </row>
    <row r="241" spans="2:20" x14ac:dyDescent="0.25">
      <c r="B241" s="117" t="s">
        <v>463</v>
      </c>
      <c r="C241" s="136" t="s">
        <v>464</v>
      </c>
      <c r="D241" s="14" t="s">
        <v>15</v>
      </c>
      <c r="E241" s="14" t="s">
        <v>21</v>
      </c>
      <c r="F241" s="15">
        <v>44292</v>
      </c>
      <c r="G241" s="16">
        <v>22</v>
      </c>
      <c r="H241" s="15"/>
      <c r="I241" s="16"/>
      <c r="J241" s="15"/>
      <c r="K241" s="16"/>
      <c r="L241" s="15"/>
      <c r="M241" s="63"/>
      <c r="N241" s="17"/>
      <c r="O241" s="16"/>
      <c r="P241" s="16"/>
      <c r="Q241" s="152">
        <f t="shared" si="110"/>
        <v>0</v>
      </c>
      <c r="R241" s="152">
        <f t="shared" si="111"/>
        <v>22</v>
      </c>
      <c r="S241" s="152">
        <f t="shared" si="112"/>
        <v>22</v>
      </c>
      <c r="T241" s="18">
        <f t="shared" si="113"/>
        <v>22</v>
      </c>
    </row>
    <row r="242" spans="2:20" x14ac:dyDescent="0.25">
      <c r="B242" s="117" t="s">
        <v>465</v>
      </c>
      <c r="C242" s="136" t="s">
        <v>760</v>
      </c>
      <c r="D242" s="14" t="s">
        <v>24</v>
      </c>
      <c r="E242" s="14" t="s">
        <v>16</v>
      </c>
      <c r="F242" s="15"/>
      <c r="G242" s="16"/>
      <c r="H242" s="15"/>
      <c r="I242" s="16"/>
      <c r="J242" s="15"/>
      <c r="K242" s="16"/>
      <c r="L242" s="15"/>
      <c r="M242" s="63"/>
      <c r="N242" s="17"/>
      <c r="O242" s="16"/>
      <c r="P242" s="16"/>
      <c r="Q242" s="152">
        <f t="shared" ref="Q242" si="114">IF(F242&lt;=ExpQ1,G242,0)+IF(H242&lt;=ExpQ1,I242,0)+IF(J242&lt;=ExpQ1,K242,0)+IF(L242&lt;=ExpQ1,M242,0)+IF(N242&lt;=ExpQ1,O242,0)</f>
        <v>0</v>
      </c>
      <c r="R242" s="152">
        <f t="shared" ref="R242" si="115">IF(F242&lt;=ExpH1,G242,0)+IF(H242&lt;=ExpH1,I242,0)+IF(J242&lt;=ExpH1,K242,0)+IF(L242&lt;=ExpH1,M242,0)+IF(N242&lt;=ExpH1,O242,0)</f>
        <v>0</v>
      </c>
      <c r="S242" s="152">
        <f t="shared" ref="S242" si="116">IF(F242&lt;=ExpQ3,G242,0)+IF(H242&lt;=ExpQ3,I242,0)+IF(J242&lt;=ExpQ3,K242,0)+IF(L242&lt;=ExpQ3,M242,0)+IF(N242&lt;=ExpQ3,O242,0)</f>
        <v>0</v>
      </c>
      <c r="T242" s="18">
        <f t="shared" si="113"/>
        <v>0</v>
      </c>
    </row>
    <row r="243" spans="2:20" x14ac:dyDescent="0.25">
      <c r="B243" s="117" t="s">
        <v>467</v>
      </c>
      <c r="C243" s="136" t="s">
        <v>468</v>
      </c>
      <c r="D243" s="14" t="s">
        <v>15</v>
      </c>
      <c r="E243" s="14" t="s">
        <v>200</v>
      </c>
      <c r="F243" s="147">
        <v>44309</v>
      </c>
      <c r="G243" s="148">
        <f>3*0.97458704</f>
        <v>2.92376112</v>
      </c>
      <c r="H243" s="15">
        <v>44473</v>
      </c>
      <c r="I243" s="16">
        <v>3</v>
      </c>
      <c r="J243" s="15"/>
      <c r="K243" s="16"/>
      <c r="L243" s="15"/>
      <c r="M243" s="63"/>
      <c r="N243" s="17"/>
      <c r="O243" s="16"/>
      <c r="P243" s="16"/>
      <c r="Q243" s="152">
        <f t="shared" si="110"/>
        <v>0</v>
      </c>
      <c r="R243" s="152">
        <f t="shared" si="111"/>
        <v>2.92376112</v>
      </c>
      <c r="S243" s="152">
        <f t="shared" si="112"/>
        <v>2.92376112</v>
      </c>
      <c r="T243" s="18">
        <f t="shared" si="113"/>
        <v>5.92376112</v>
      </c>
    </row>
    <row r="244" spans="2:20" x14ac:dyDescent="0.25">
      <c r="B244" s="117" t="s">
        <v>469</v>
      </c>
      <c r="C244" s="136" t="s">
        <v>470</v>
      </c>
      <c r="D244" s="14" t="s">
        <v>15</v>
      </c>
      <c r="E244" s="14" t="s">
        <v>16</v>
      </c>
      <c r="F244" s="15">
        <v>44368</v>
      </c>
      <c r="G244" s="16">
        <v>0.01</v>
      </c>
      <c r="H244" s="15"/>
      <c r="I244" s="16"/>
      <c r="J244" s="15"/>
      <c r="K244" s="16"/>
      <c r="L244" s="15"/>
      <c r="M244" s="63"/>
      <c r="N244" s="17"/>
      <c r="O244" s="16"/>
      <c r="P244" s="16"/>
      <c r="Q244" s="152">
        <f t="shared" si="110"/>
        <v>0</v>
      </c>
      <c r="R244" s="152">
        <f t="shared" si="111"/>
        <v>0</v>
      </c>
      <c r="S244" s="152">
        <f t="shared" si="112"/>
        <v>0.01</v>
      </c>
      <c r="T244" s="18">
        <f t="shared" si="113"/>
        <v>0.01</v>
      </c>
    </row>
    <row r="245" spans="2:20" x14ac:dyDescent="0.25">
      <c r="B245" s="117" t="s">
        <v>471</v>
      </c>
      <c r="C245" s="136" t="s">
        <v>472</v>
      </c>
      <c r="D245" s="14" t="s">
        <v>15</v>
      </c>
      <c r="E245" s="14" t="s">
        <v>16</v>
      </c>
      <c r="F245" s="15">
        <v>44348</v>
      </c>
      <c r="G245" s="16">
        <v>0.19800000000000001</v>
      </c>
      <c r="H245" s="15">
        <v>44531</v>
      </c>
      <c r="I245" s="16">
        <v>0.14799999999999999</v>
      </c>
      <c r="J245" s="15"/>
      <c r="K245" s="16"/>
      <c r="L245" s="15"/>
      <c r="M245" s="63"/>
      <c r="N245" s="17"/>
      <c r="O245" s="16"/>
      <c r="P245" s="16"/>
      <c r="Q245" s="152">
        <f t="shared" si="110"/>
        <v>0</v>
      </c>
      <c r="R245" s="152">
        <f t="shared" si="111"/>
        <v>0.19800000000000001</v>
      </c>
      <c r="S245" s="152">
        <f t="shared" si="112"/>
        <v>0.19800000000000001</v>
      </c>
      <c r="T245" s="18">
        <f t="shared" si="113"/>
        <v>0.34599999999999997</v>
      </c>
    </row>
    <row r="246" spans="2:20" x14ac:dyDescent="0.25">
      <c r="B246" s="117" t="s">
        <v>784</v>
      </c>
      <c r="C246" s="136" t="s">
        <v>785</v>
      </c>
      <c r="D246" s="14" t="s">
        <v>27</v>
      </c>
      <c r="E246" s="14" t="s">
        <v>16</v>
      </c>
      <c r="F246" s="15">
        <v>44319</v>
      </c>
      <c r="G246" s="16">
        <v>1.375</v>
      </c>
      <c r="H246" s="15">
        <v>44536</v>
      </c>
      <c r="I246" s="16">
        <v>1.375</v>
      </c>
      <c r="J246" s="15"/>
      <c r="K246" s="16"/>
      <c r="L246" s="15"/>
      <c r="M246" s="63"/>
      <c r="N246" s="17"/>
      <c r="O246" s="16"/>
      <c r="P246" s="16"/>
      <c r="Q246" s="152">
        <f t="shared" ref="Q246" si="117">IF(F246&lt;=ExpQ1,G246,0)+IF(H246&lt;=ExpQ1,I246,0)+IF(J246&lt;=ExpQ1,K246,0)+IF(L246&lt;=ExpQ1,M246,0)+IF(N246&lt;=ExpQ1,O246,0)</f>
        <v>0</v>
      </c>
      <c r="R246" s="152">
        <f t="shared" ref="R246" si="118">IF(F246&lt;=ExpH1,G246,0)+IF(H246&lt;=ExpH1,I246,0)+IF(J246&lt;=ExpH1,K246,0)+IF(L246&lt;=ExpH1,M246,0)+IF(N246&lt;=ExpH1,O246,0)</f>
        <v>1.375</v>
      </c>
      <c r="S246" s="152">
        <f t="shared" ref="S246" si="119">IF(F246&lt;=ExpQ3,G246,0)+IF(H246&lt;=ExpQ3,I246,0)+IF(J246&lt;=ExpQ3,K246,0)+IF(L246&lt;=ExpQ3,M246,0)+IF(N246&lt;=ExpQ3,O246,0)</f>
        <v>1.375</v>
      </c>
      <c r="T246" s="18">
        <f t="shared" ref="T246" si="120">G246+I246+K246+M246+O246</f>
        <v>2.75</v>
      </c>
    </row>
    <row r="247" spans="2:20" x14ac:dyDescent="0.25">
      <c r="B247" s="117" t="s">
        <v>473</v>
      </c>
      <c r="C247" s="136" t="s">
        <v>669</v>
      </c>
      <c r="D247" s="14" t="s">
        <v>755</v>
      </c>
      <c r="E247" s="14" t="s">
        <v>475</v>
      </c>
      <c r="F247" s="15">
        <v>44344</v>
      </c>
      <c r="G247" s="16">
        <v>5</v>
      </c>
      <c r="H247" s="15">
        <v>44476</v>
      </c>
      <c r="I247" s="16">
        <v>4</v>
      </c>
      <c r="J247" s="15"/>
      <c r="K247" s="16"/>
      <c r="L247" s="15"/>
      <c r="M247" s="63"/>
      <c r="N247" s="17"/>
      <c r="O247" s="16"/>
      <c r="P247" s="16"/>
      <c r="Q247" s="152">
        <f t="shared" si="110"/>
        <v>0</v>
      </c>
      <c r="R247" s="152">
        <f t="shared" si="111"/>
        <v>5</v>
      </c>
      <c r="S247" s="152">
        <f t="shared" si="112"/>
        <v>5</v>
      </c>
      <c r="T247" s="18">
        <f t="shared" si="113"/>
        <v>9</v>
      </c>
    </row>
    <row r="248" spans="2:20" x14ac:dyDescent="0.25">
      <c r="B248" s="117" t="s">
        <v>476</v>
      </c>
      <c r="C248" s="136" t="s">
        <v>477</v>
      </c>
      <c r="D248" s="14" t="s">
        <v>15</v>
      </c>
      <c r="E248" s="14" t="s">
        <v>200</v>
      </c>
      <c r="F248" s="15">
        <v>44299</v>
      </c>
      <c r="G248" s="16">
        <v>1</v>
      </c>
      <c r="H248" s="15">
        <v>44496</v>
      </c>
      <c r="I248" s="16">
        <v>1</v>
      </c>
      <c r="J248" s="15"/>
      <c r="K248" s="16"/>
      <c r="L248" s="15"/>
      <c r="M248" s="63"/>
      <c r="N248" s="17"/>
      <c r="O248" s="16"/>
      <c r="P248" s="16"/>
      <c r="Q248" s="152">
        <f t="shared" si="110"/>
        <v>0</v>
      </c>
      <c r="R248" s="152">
        <f t="shared" si="111"/>
        <v>1</v>
      </c>
      <c r="S248" s="152">
        <f t="shared" si="112"/>
        <v>1</v>
      </c>
      <c r="T248" s="18">
        <f t="shared" si="113"/>
        <v>2</v>
      </c>
    </row>
    <row r="249" spans="2:20" x14ac:dyDescent="0.25">
      <c r="B249" s="117" t="s">
        <v>478</v>
      </c>
      <c r="C249" s="136" t="s">
        <v>479</v>
      </c>
      <c r="D249" s="14" t="s">
        <v>15</v>
      </c>
      <c r="E249" s="14" t="s">
        <v>16</v>
      </c>
      <c r="F249" s="15">
        <v>44368</v>
      </c>
      <c r="G249" s="16">
        <v>0.17860000000000001</v>
      </c>
      <c r="H249" s="15">
        <v>44218</v>
      </c>
      <c r="I249" s="16">
        <v>9.8199999999999996E-2</v>
      </c>
      <c r="J249" s="15"/>
      <c r="K249" s="16"/>
      <c r="L249" s="15"/>
      <c r="M249" s="63"/>
      <c r="N249" s="17"/>
      <c r="O249" s="16"/>
      <c r="P249" s="16"/>
      <c r="Q249" s="152">
        <f t="shared" si="110"/>
        <v>9.8199999999999996E-2</v>
      </c>
      <c r="R249" s="152">
        <f t="shared" si="111"/>
        <v>9.8199999999999996E-2</v>
      </c>
      <c r="S249" s="152">
        <f t="shared" si="112"/>
        <v>0.27679999999999999</v>
      </c>
      <c r="T249" s="18">
        <f t="shared" si="113"/>
        <v>0.27679999999999999</v>
      </c>
    </row>
    <row r="250" spans="2:20" x14ac:dyDescent="0.25">
      <c r="B250" s="117" t="s">
        <v>480</v>
      </c>
      <c r="C250" s="136" t="s">
        <v>481</v>
      </c>
      <c r="D250" s="14" t="s">
        <v>237</v>
      </c>
      <c r="E250" s="14" t="s">
        <v>16</v>
      </c>
      <c r="F250" s="15">
        <v>44337</v>
      </c>
      <c r="G250" s="16">
        <v>0.14000000000000001</v>
      </c>
      <c r="H250" s="15"/>
      <c r="I250" s="16"/>
      <c r="J250" s="15"/>
      <c r="K250" s="16"/>
      <c r="L250" s="15"/>
      <c r="M250" s="63"/>
      <c r="N250" s="17"/>
      <c r="O250" s="16"/>
      <c r="P250" s="16"/>
      <c r="Q250" s="152">
        <f t="shared" si="110"/>
        <v>0</v>
      </c>
      <c r="R250" s="152">
        <f t="shared" si="111"/>
        <v>0.14000000000000001</v>
      </c>
      <c r="S250" s="152">
        <f t="shared" si="112"/>
        <v>0.14000000000000001</v>
      </c>
      <c r="T250" s="18">
        <f t="shared" si="113"/>
        <v>0.14000000000000001</v>
      </c>
    </row>
    <row r="251" spans="2:20" x14ac:dyDescent="0.25">
      <c r="B251" s="117" t="s">
        <v>482</v>
      </c>
      <c r="C251" s="136" t="s">
        <v>483</v>
      </c>
      <c r="D251" s="14" t="s">
        <v>15</v>
      </c>
      <c r="E251" s="14" t="s">
        <v>21</v>
      </c>
      <c r="F251" s="15">
        <v>44330</v>
      </c>
      <c r="G251" s="16">
        <v>3.5</v>
      </c>
      <c r="H251" s="15"/>
      <c r="I251" s="16"/>
      <c r="J251" s="15"/>
      <c r="K251" s="16"/>
      <c r="L251" s="15"/>
      <c r="M251" s="63"/>
      <c r="N251" s="17"/>
      <c r="O251" s="16"/>
      <c r="P251" s="16"/>
      <c r="Q251" s="152">
        <f t="shared" si="110"/>
        <v>0</v>
      </c>
      <c r="R251" s="152">
        <f t="shared" si="111"/>
        <v>3.5</v>
      </c>
      <c r="S251" s="152">
        <f t="shared" si="112"/>
        <v>3.5</v>
      </c>
      <c r="T251" s="18">
        <f t="shared" si="113"/>
        <v>3.5</v>
      </c>
    </row>
    <row r="252" spans="2:20" x14ac:dyDescent="0.25">
      <c r="B252" s="117" t="s">
        <v>484</v>
      </c>
      <c r="C252" s="136" t="s">
        <v>485</v>
      </c>
      <c r="D252" s="14" t="s">
        <v>15</v>
      </c>
      <c r="E252" s="14" t="s">
        <v>16</v>
      </c>
      <c r="F252" s="15"/>
      <c r="G252" s="16"/>
      <c r="H252" s="15"/>
      <c r="I252" s="16"/>
      <c r="J252" s="15"/>
      <c r="K252" s="16"/>
      <c r="L252" s="15"/>
      <c r="M252" s="63"/>
      <c r="N252" s="17"/>
      <c r="O252" s="16"/>
      <c r="P252" s="16"/>
      <c r="Q252" s="152">
        <f t="shared" si="110"/>
        <v>0</v>
      </c>
      <c r="R252" s="152">
        <f t="shared" si="111"/>
        <v>0</v>
      </c>
      <c r="S252" s="152">
        <f t="shared" si="112"/>
        <v>0</v>
      </c>
      <c r="T252" s="18">
        <f t="shared" si="113"/>
        <v>0</v>
      </c>
    </row>
    <row r="253" spans="2:20" x14ac:dyDescent="0.25">
      <c r="B253" s="117" t="s">
        <v>486</v>
      </c>
      <c r="C253" s="136" t="s">
        <v>487</v>
      </c>
      <c r="D253" s="14" t="s">
        <v>15</v>
      </c>
      <c r="E253" s="14" t="s">
        <v>16</v>
      </c>
      <c r="F253" s="15"/>
      <c r="G253" s="16"/>
      <c r="H253" s="15"/>
      <c r="I253" s="16"/>
      <c r="J253" s="15"/>
      <c r="K253" s="16"/>
      <c r="L253" s="15"/>
      <c r="M253" s="63"/>
      <c r="N253" s="17"/>
      <c r="O253" s="16"/>
      <c r="P253" s="16"/>
      <c r="Q253" s="152">
        <f t="shared" si="110"/>
        <v>0</v>
      </c>
      <c r="R253" s="152">
        <f t="shared" si="111"/>
        <v>0</v>
      </c>
      <c r="S253" s="152">
        <f t="shared" si="112"/>
        <v>0</v>
      </c>
      <c r="T253" s="18">
        <f t="shared" si="113"/>
        <v>0</v>
      </c>
    </row>
    <row r="254" spans="2:20" x14ac:dyDescent="0.25">
      <c r="B254" s="117" t="s">
        <v>776</v>
      </c>
      <c r="C254" s="136" t="s">
        <v>489</v>
      </c>
      <c r="D254" s="14" t="s">
        <v>24</v>
      </c>
      <c r="E254" s="14" t="s">
        <v>16</v>
      </c>
      <c r="F254" s="15">
        <v>44200</v>
      </c>
      <c r="G254" s="16">
        <v>0.66</v>
      </c>
      <c r="H254" s="15">
        <v>44280</v>
      </c>
      <c r="I254" s="16">
        <v>0.66</v>
      </c>
      <c r="J254" s="15">
        <v>44371</v>
      </c>
      <c r="K254" s="16">
        <v>0.66</v>
      </c>
      <c r="L254" s="15">
        <v>44460</v>
      </c>
      <c r="M254" s="63">
        <v>0.66</v>
      </c>
      <c r="N254" s="17"/>
      <c r="O254" s="16"/>
      <c r="P254" s="16"/>
      <c r="Q254" s="152">
        <f t="shared" si="110"/>
        <v>0.66</v>
      </c>
      <c r="R254" s="152">
        <f t="shared" si="111"/>
        <v>1.32</v>
      </c>
      <c r="S254" s="152">
        <f t="shared" si="112"/>
        <v>1.98</v>
      </c>
      <c r="T254" s="18">
        <f t="shared" si="113"/>
        <v>2.64</v>
      </c>
    </row>
    <row r="255" spans="2:20" x14ac:dyDescent="0.25">
      <c r="B255" s="117" t="s">
        <v>492</v>
      </c>
      <c r="C255" s="136" t="s">
        <v>493</v>
      </c>
      <c r="D255" s="14" t="s">
        <v>15</v>
      </c>
      <c r="E255" s="14" t="s">
        <v>21</v>
      </c>
      <c r="F255" s="15">
        <v>44299</v>
      </c>
      <c r="G255" s="16">
        <f>0.37/109.98*100</f>
        <v>0.33642480450991086</v>
      </c>
      <c r="H255" s="15"/>
      <c r="I255" s="16"/>
      <c r="J255" s="15"/>
      <c r="K255" s="16"/>
      <c r="L255" s="15"/>
      <c r="M255" s="63"/>
      <c r="N255" s="17"/>
      <c r="O255" s="16"/>
      <c r="P255" s="16"/>
      <c r="Q255" s="152">
        <f t="shared" si="110"/>
        <v>0</v>
      </c>
      <c r="R255" s="152">
        <f t="shared" si="111"/>
        <v>0.33642480450991086</v>
      </c>
      <c r="S255" s="152">
        <f t="shared" si="112"/>
        <v>0.33642480450991086</v>
      </c>
      <c r="T255" s="18">
        <f t="shared" si="113"/>
        <v>0.33642480450991086</v>
      </c>
    </row>
    <row r="256" spans="2:20" x14ac:dyDescent="0.25">
      <c r="B256" s="117" t="s">
        <v>494</v>
      </c>
      <c r="C256" s="136" t="s">
        <v>495</v>
      </c>
      <c r="D256" s="14" t="s">
        <v>27</v>
      </c>
      <c r="E256" s="14" t="s">
        <v>16</v>
      </c>
      <c r="F256" s="15">
        <v>44316</v>
      </c>
      <c r="G256" s="16">
        <v>1.27</v>
      </c>
      <c r="H256" s="15"/>
      <c r="I256" s="16"/>
      <c r="J256" s="15"/>
      <c r="K256" s="16"/>
      <c r="L256" s="15"/>
      <c r="M256" s="151"/>
      <c r="N256" s="17"/>
      <c r="O256" s="16"/>
      <c r="P256" s="16"/>
      <c r="Q256" s="152">
        <f t="shared" si="110"/>
        <v>0</v>
      </c>
      <c r="R256" s="152">
        <f t="shared" si="111"/>
        <v>1.27</v>
      </c>
      <c r="S256" s="152">
        <f t="shared" si="112"/>
        <v>1.27</v>
      </c>
      <c r="T256" s="18">
        <f>G256+I256+K256+M256+O256</f>
        <v>1.27</v>
      </c>
    </row>
    <row r="257" spans="2:20" x14ac:dyDescent="0.25">
      <c r="B257" s="117" t="s">
        <v>496</v>
      </c>
      <c r="C257" s="136" t="s">
        <v>497</v>
      </c>
      <c r="D257" s="14" t="s">
        <v>27</v>
      </c>
      <c r="E257" s="14" t="s">
        <v>16</v>
      </c>
      <c r="F257" s="15">
        <v>44319</v>
      </c>
      <c r="G257" s="16">
        <v>0.5</v>
      </c>
      <c r="H257" s="15">
        <v>44428</v>
      </c>
      <c r="I257" s="16">
        <v>0.25</v>
      </c>
      <c r="J257" s="15"/>
      <c r="K257" s="16"/>
      <c r="L257" s="15"/>
      <c r="M257" s="151"/>
      <c r="N257" s="17"/>
      <c r="O257" s="16"/>
      <c r="P257" s="16"/>
      <c r="Q257" s="152">
        <f t="shared" si="110"/>
        <v>0</v>
      </c>
      <c r="R257" s="152">
        <f t="shared" si="111"/>
        <v>0.5</v>
      </c>
      <c r="S257" s="152">
        <f t="shared" si="112"/>
        <v>0.75</v>
      </c>
      <c r="T257" s="18">
        <f t="shared" si="113"/>
        <v>0.75</v>
      </c>
    </row>
    <row r="258" spans="2:20" x14ac:dyDescent="0.25">
      <c r="B258" s="117" t="s">
        <v>622</v>
      </c>
      <c r="C258" s="136" t="s">
        <v>499</v>
      </c>
      <c r="D258" s="14" t="s">
        <v>15</v>
      </c>
      <c r="E258" s="14" t="s">
        <v>16</v>
      </c>
      <c r="F258" s="15"/>
      <c r="G258" s="16"/>
      <c r="H258" s="15"/>
      <c r="I258" s="16"/>
      <c r="J258" s="15"/>
      <c r="K258" s="16"/>
      <c r="L258" s="15"/>
      <c r="M258" s="63"/>
      <c r="N258" s="17"/>
      <c r="O258" s="16"/>
      <c r="P258" s="16"/>
      <c r="Q258" s="152">
        <f t="shared" si="110"/>
        <v>0</v>
      </c>
      <c r="R258" s="152">
        <f t="shared" si="111"/>
        <v>0</v>
      </c>
      <c r="S258" s="152">
        <f t="shared" si="112"/>
        <v>0</v>
      </c>
      <c r="T258" s="18">
        <f t="shared" si="113"/>
        <v>0</v>
      </c>
    </row>
    <row r="259" spans="2:20" x14ac:dyDescent="0.25">
      <c r="B259" s="117" t="s">
        <v>500</v>
      </c>
      <c r="C259" s="136" t="s">
        <v>501</v>
      </c>
      <c r="D259" s="14" t="s">
        <v>15</v>
      </c>
      <c r="E259" s="14" t="s">
        <v>16</v>
      </c>
      <c r="F259" s="15">
        <v>44305</v>
      </c>
      <c r="G259" s="16">
        <v>0.12</v>
      </c>
      <c r="H259" s="15"/>
      <c r="I259" s="16"/>
      <c r="J259" s="15"/>
      <c r="K259" s="16"/>
      <c r="L259" s="15"/>
      <c r="M259" s="63"/>
      <c r="N259" s="17"/>
      <c r="O259" s="16"/>
      <c r="P259" s="16"/>
      <c r="Q259" s="152">
        <f t="shared" si="110"/>
        <v>0</v>
      </c>
      <c r="R259" s="152">
        <f t="shared" si="111"/>
        <v>0.12</v>
      </c>
      <c r="S259" s="152">
        <f t="shared" si="112"/>
        <v>0.12</v>
      </c>
      <c r="T259" s="18">
        <f t="shared" si="113"/>
        <v>0.12</v>
      </c>
    </row>
    <row r="260" spans="2:20" x14ac:dyDescent="0.25">
      <c r="B260" s="117" t="s">
        <v>504</v>
      </c>
      <c r="C260" s="136" t="s">
        <v>505</v>
      </c>
      <c r="D260" s="14" t="s">
        <v>15</v>
      </c>
      <c r="E260" s="14" t="s">
        <v>16</v>
      </c>
      <c r="F260" s="15">
        <v>44252</v>
      </c>
      <c r="G260" s="16">
        <v>0.42680000000000001</v>
      </c>
      <c r="H260" s="15">
        <v>44336</v>
      </c>
      <c r="I260" s="16">
        <v>0.42680000000000001</v>
      </c>
      <c r="J260" s="15">
        <v>44413</v>
      </c>
      <c r="K260" s="16">
        <v>0.42680000000000001</v>
      </c>
      <c r="L260" s="15">
        <v>44504</v>
      </c>
      <c r="M260" s="63">
        <v>0.42680000000000001</v>
      </c>
      <c r="N260" s="17"/>
      <c r="O260" s="16"/>
      <c r="P260" s="16"/>
      <c r="Q260" s="152">
        <f t="shared" si="110"/>
        <v>0.42680000000000001</v>
      </c>
      <c r="R260" s="152">
        <f t="shared" si="111"/>
        <v>0.85360000000000003</v>
      </c>
      <c r="S260" s="152">
        <f t="shared" si="112"/>
        <v>1.2804</v>
      </c>
      <c r="T260" s="18">
        <f t="shared" si="113"/>
        <v>1.7072000000000001</v>
      </c>
    </row>
    <row r="261" spans="2:20" x14ac:dyDescent="0.25">
      <c r="B261" s="117" t="s">
        <v>508</v>
      </c>
      <c r="C261" s="136" t="s">
        <v>509</v>
      </c>
      <c r="D261" s="14" t="s">
        <v>15</v>
      </c>
      <c r="E261" s="14" t="s">
        <v>16</v>
      </c>
      <c r="F261" s="15">
        <v>44340</v>
      </c>
      <c r="G261" s="16">
        <v>0.19</v>
      </c>
      <c r="H261" s="15"/>
      <c r="I261" s="16"/>
      <c r="J261" s="15"/>
      <c r="K261" s="16"/>
      <c r="L261" s="15"/>
      <c r="M261" s="63"/>
      <c r="N261" s="17"/>
      <c r="O261" s="16"/>
      <c r="P261" s="16"/>
      <c r="Q261" s="152">
        <f t="shared" si="110"/>
        <v>0</v>
      </c>
      <c r="R261" s="152">
        <f t="shared" si="111"/>
        <v>0.19</v>
      </c>
      <c r="S261" s="152">
        <f t="shared" si="112"/>
        <v>0.19</v>
      </c>
      <c r="T261" s="18">
        <f t="shared" si="113"/>
        <v>0.19</v>
      </c>
    </row>
    <row r="262" spans="2:20" x14ac:dyDescent="0.25">
      <c r="B262" s="117" t="s">
        <v>510</v>
      </c>
      <c r="C262" s="136" t="s">
        <v>511</v>
      </c>
      <c r="D262" s="14" t="s">
        <v>15</v>
      </c>
      <c r="E262" s="14" t="s">
        <v>761</v>
      </c>
      <c r="F262" s="15">
        <v>44371</v>
      </c>
      <c r="G262" s="16">
        <v>28.83</v>
      </c>
      <c r="H262" s="15">
        <v>44546</v>
      </c>
      <c r="I262" s="16">
        <v>14.5</v>
      </c>
      <c r="J262" s="15"/>
      <c r="K262" s="16"/>
      <c r="L262" s="15"/>
      <c r="M262" s="63"/>
      <c r="N262" s="17"/>
      <c r="O262" s="16"/>
      <c r="P262" s="16"/>
      <c r="Q262" s="152">
        <f t="shared" si="110"/>
        <v>0</v>
      </c>
      <c r="R262" s="152">
        <f t="shared" si="111"/>
        <v>0</v>
      </c>
      <c r="S262" s="152">
        <f t="shared" si="112"/>
        <v>28.83</v>
      </c>
      <c r="T262" s="18">
        <f t="shared" si="113"/>
        <v>43.33</v>
      </c>
    </row>
    <row r="263" spans="2:20" x14ac:dyDescent="0.25">
      <c r="B263" s="117" t="s">
        <v>692</v>
      </c>
      <c r="C263" s="136" t="s">
        <v>693</v>
      </c>
      <c r="D263" s="14" t="s">
        <v>15</v>
      </c>
      <c r="E263" s="14" t="s">
        <v>16</v>
      </c>
      <c r="F263" s="142">
        <v>44357</v>
      </c>
      <c r="G263" s="143">
        <v>0.18</v>
      </c>
      <c r="H263" s="142"/>
      <c r="I263" s="143"/>
      <c r="J263" s="142"/>
      <c r="K263" s="143"/>
      <c r="L263" s="142"/>
      <c r="M263" s="150"/>
      <c r="N263" s="144"/>
      <c r="O263" s="143"/>
      <c r="P263" s="143"/>
      <c r="Q263" s="152">
        <f t="shared" si="110"/>
        <v>0</v>
      </c>
      <c r="R263" s="152">
        <f t="shared" si="111"/>
        <v>0.18</v>
      </c>
      <c r="S263" s="152">
        <f t="shared" si="112"/>
        <v>0.18</v>
      </c>
      <c r="T263" s="145">
        <f t="shared" si="113"/>
        <v>0.18</v>
      </c>
    </row>
    <row r="264" spans="2:20" x14ac:dyDescent="0.25">
      <c r="B264" s="117" t="s">
        <v>794</v>
      </c>
      <c r="C264" s="136" t="s">
        <v>795</v>
      </c>
      <c r="D264" s="14" t="s">
        <v>15</v>
      </c>
      <c r="E264" s="14" t="s">
        <v>16</v>
      </c>
      <c r="F264" s="142">
        <v>44494</v>
      </c>
      <c r="G264" s="143">
        <v>0.2</v>
      </c>
      <c r="H264" s="142"/>
      <c r="I264" s="143"/>
      <c r="J264" s="142"/>
      <c r="K264" s="143"/>
      <c r="L264" s="142"/>
      <c r="M264" s="150"/>
      <c r="N264" s="144"/>
      <c r="O264" s="143"/>
      <c r="P264" s="143"/>
      <c r="Q264" s="152">
        <f t="shared" ref="Q264" si="121">IF(F264&lt;=ExpQ1,G264,0)+IF(H264&lt;=ExpQ1,I264,0)+IF(J264&lt;=ExpQ1,K264,0)+IF(L264&lt;=ExpQ1,M264,0)+IF(N264&lt;=ExpQ1,O264,0)</f>
        <v>0</v>
      </c>
      <c r="R264" s="152">
        <f t="shared" ref="R264" si="122">IF(F264&lt;=ExpH1,G264,0)+IF(H264&lt;=ExpH1,I264,0)+IF(J264&lt;=ExpH1,K264,0)+IF(L264&lt;=ExpH1,M264,0)+IF(N264&lt;=ExpH1,O264,0)</f>
        <v>0</v>
      </c>
      <c r="S264" s="152">
        <f t="shared" ref="S264" si="123">IF(F264&lt;=ExpQ3,G264,0)+IF(H264&lt;=ExpQ3,I264,0)+IF(J264&lt;=ExpQ3,K264,0)+IF(L264&lt;=ExpQ3,M264,0)+IF(N264&lt;=ExpQ3,O264,0)</f>
        <v>0</v>
      </c>
      <c r="T264" s="145">
        <f t="shared" ref="T264" si="124">G264+I264+K264+M264+O264</f>
        <v>0.2</v>
      </c>
    </row>
    <row r="265" spans="2:20" x14ac:dyDescent="0.25">
      <c r="B265" s="117" t="s">
        <v>512</v>
      </c>
      <c r="C265" s="136" t="s">
        <v>513</v>
      </c>
      <c r="D265" s="14" t="s">
        <v>24</v>
      </c>
      <c r="E265" s="14" t="s">
        <v>16</v>
      </c>
      <c r="F265" s="15">
        <v>44344</v>
      </c>
      <c r="G265" s="16">
        <v>0.3</v>
      </c>
      <c r="H265" s="15"/>
      <c r="I265" s="16"/>
      <c r="J265" s="15"/>
      <c r="K265" s="16"/>
      <c r="L265" s="15"/>
      <c r="M265" s="63"/>
      <c r="N265" s="17"/>
      <c r="O265" s="16"/>
      <c r="P265" s="16"/>
      <c r="Q265" s="152">
        <f t="shared" si="110"/>
        <v>0</v>
      </c>
      <c r="R265" s="152">
        <f t="shared" si="111"/>
        <v>0.3</v>
      </c>
      <c r="S265" s="152">
        <f t="shared" si="112"/>
        <v>0.3</v>
      </c>
      <c r="T265" s="18">
        <f t="shared" si="113"/>
        <v>0.3</v>
      </c>
    </row>
    <row r="266" spans="2:20" x14ac:dyDescent="0.25">
      <c r="B266" s="117" t="s">
        <v>514</v>
      </c>
      <c r="C266" s="136" t="s">
        <v>515</v>
      </c>
      <c r="D266" s="14" t="s">
        <v>24</v>
      </c>
      <c r="E266" s="14" t="s">
        <v>16</v>
      </c>
      <c r="F266" s="15"/>
      <c r="G266" s="16"/>
      <c r="H266" s="15"/>
      <c r="I266" s="16"/>
      <c r="J266" s="15"/>
      <c r="K266" s="16"/>
      <c r="L266" s="15"/>
      <c r="M266" s="16"/>
      <c r="N266" s="17"/>
      <c r="O266" s="16"/>
      <c r="P266" s="16"/>
      <c r="Q266" s="152">
        <f t="shared" si="110"/>
        <v>0</v>
      </c>
      <c r="R266" s="152">
        <f t="shared" si="111"/>
        <v>0</v>
      </c>
      <c r="S266" s="152">
        <f t="shared" si="112"/>
        <v>0</v>
      </c>
      <c r="T266" s="18">
        <f t="shared" si="113"/>
        <v>0</v>
      </c>
    </row>
    <row r="267" spans="2:20" x14ac:dyDescent="0.25">
      <c r="B267" s="117" t="s">
        <v>516</v>
      </c>
      <c r="C267" s="136" t="s">
        <v>517</v>
      </c>
      <c r="D267" s="14" t="s">
        <v>24</v>
      </c>
      <c r="E267" s="14" t="s">
        <v>16</v>
      </c>
      <c r="F267" s="147">
        <v>44326</v>
      </c>
      <c r="G267" s="148">
        <f>0.7*0.96417094</f>
        <v>0.67491965799999998</v>
      </c>
      <c r="H267" s="15"/>
      <c r="I267" s="16"/>
      <c r="J267" s="15"/>
      <c r="K267" s="16"/>
      <c r="L267" s="15"/>
      <c r="M267" s="63"/>
      <c r="N267" s="17"/>
      <c r="O267" s="16"/>
      <c r="P267" s="16"/>
      <c r="Q267" s="152">
        <f t="shared" si="110"/>
        <v>0</v>
      </c>
      <c r="R267" s="152">
        <f t="shared" si="111"/>
        <v>0.67491965799999998</v>
      </c>
      <c r="S267" s="152">
        <f t="shared" si="112"/>
        <v>0.67491965799999998</v>
      </c>
      <c r="T267" s="18">
        <f t="shared" si="113"/>
        <v>0.67491965799999998</v>
      </c>
    </row>
    <row r="268" spans="2:20" x14ac:dyDescent="0.25">
      <c r="B268" s="117" t="s">
        <v>727</v>
      </c>
      <c r="C268" s="136" t="s">
        <v>728</v>
      </c>
      <c r="D268" s="14" t="s">
        <v>24</v>
      </c>
      <c r="E268" s="14" t="s">
        <v>16</v>
      </c>
      <c r="F268" s="15">
        <v>44312</v>
      </c>
      <c r="G268" s="16">
        <v>1.5</v>
      </c>
      <c r="H268" s="15"/>
      <c r="I268" s="16"/>
      <c r="J268" s="15"/>
      <c r="K268" s="16"/>
      <c r="L268" s="15"/>
      <c r="M268" s="63"/>
      <c r="N268" s="17"/>
      <c r="O268" s="16"/>
      <c r="P268" s="16"/>
      <c r="Q268" s="152">
        <f t="shared" si="110"/>
        <v>0</v>
      </c>
      <c r="R268" s="152">
        <f t="shared" si="111"/>
        <v>1.5</v>
      </c>
      <c r="S268" s="152">
        <f t="shared" si="112"/>
        <v>1.5</v>
      </c>
      <c r="T268" s="18">
        <f t="shared" si="113"/>
        <v>1.5</v>
      </c>
    </row>
    <row r="269" spans="2:20" x14ac:dyDescent="0.25">
      <c r="B269" s="117" t="s">
        <v>742</v>
      </c>
      <c r="C269" s="136" t="s">
        <v>743</v>
      </c>
      <c r="D269" s="14" t="s">
        <v>15</v>
      </c>
      <c r="E269" s="14" t="s">
        <v>16</v>
      </c>
      <c r="F269" s="15">
        <v>44341</v>
      </c>
      <c r="G269" s="16">
        <v>0.75</v>
      </c>
      <c r="H269" s="15"/>
      <c r="I269" s="16"/>
      <c r="J269" s="15"/>
      <c r="K269" s="16"/>
      <c r="L269" s="15"/>
      <c r="M269" s="63"/>
      <c r="N269" s="17"/>
      <c r="O269" s="16"/>
      <c r="P269" s="16"/>
      <c r="Q269" s="152">
        <f t="shared" ref="Q269" si="125">IF(F269&lt;=ExpQ1,G269,0)+IF(H269&lt;=ExpQ1,I269,0)+IF(J269&lt;=ExpQ1,K269,0)+IF(L269&lt;=ExpQ1,M269,0)+IF(N269&lt;=ExpQ1,O269,0)</f>
        <v>0</v>
      </c>
      <c r="R269" s="152">
        <f t="shared" ref="R269" si="126">IF(F269&lt;=ExpH1,G269,0)+IF(H269&lt;=ExpH1,I269,0)+IF(J269&lt;=ExpH1,K269,0)+IF(L269&lt;=ExpH1,M269,0)+IF(N269&lt;=ExpH1,O269,0)</f>
        <v>0.75</v>
      </c>
      <c r="S269" s="152">
        <f t="shared" ref="S269" si="127">IF(F269&lt;=ExpQ3,G269,0)+IF(H269&lt;=ExpQ3,I269,0)+IF(J269&lt;=ExpQ3,K269,0)+IF(L269&lt;=ExpQ3,M269,0)+IF(N269&lt;=ExpQ3,O269,0)</f>
        <v>0.75</v>
      </c>
      <c r="T269" s="18">
        <f t="shared" ref="T269" si="128">G269+I269+K269+M269+O269</f>
        <v>0.75</v>
      </c>
    </row>
    <row r="270" spans="2:20" ht="15.75" thickBot="1" x14ac:dyDescent="0.3">
      <c r="B270" s="155" t="s">
        <v>520</v>
      </c>
      <c r="C270" s="156" t="s">
        <v>521</v>
      </c>
      <c r="D270" s="39" t="s">
        <v>24</v>
      </c>
      <c r="E270" s="39" t="s">
        <v>16</v>
      </c>
      <c r="F270" s="40">
        <v>44306</v>
      </c>
      <c r="G270" s="41">
        <v>2.04</v>
      </c>
      <c r="H270" s="40">
        <v>44516</v>
      </c>
      <c r="I270" s="41">
        <v>0.65</v>
      </c>
      <c r="J270" s="40"/>
      <c r="K270" s="41"/>
      <c r="L270" s="40"/>
      <c r="M270" s="79"/>
      <c r="N270" s="42"/>
      <c r="O270" s="41"/>
      <c r="P270" s="41"/>
      <c r="Q270" s="157">
        <f t="shared" si="110"/>
        <v>0</v>
      </c>
      <c r="R270" s="157">
        <f t="shared" si="111"/>
        <v>2.04</v>
      </c>
      <c r="S270" s="157">
        <f t="shared" si="112"/>
        <v>2.04</v>
      </c>
      <c r="T270" s="43">
        <f t="shared" si="113"/>
        <v>2.69</v>
      </c>
    </row>
    <row r="271" spans="2:20" x14ac:dyDescent="0.25">
      <c r="B271" s="161" t="s">
        <v>791</v>
      </c>
      <c r="C271" s="162" t="s">
        <v>525</v>
      </c>
      <c r="D271" s="52" t="s">
        <v>24</v>
      </c>
      <c r="E271" s="52" t="s">
        <v>16</v>
      </c>
      <c r="F271" s="53">
        <v>44370</v>
      </c>
      <c r="G271" s="54">
        <v>0.6</v>
      </c>
      <c r="H271" s="53"/>
      <c r="I271" s="54"/>
      <c r="J271" s="53"/>
      <c r="K271" s="54"/>
      <c r="L271" s="53"/>
      <c r="M271" s="81"/>
      <c r="N271" s="55"/>
      <c r="O271" s="54"/>
      <c r="P271" s="54"/>
      <c r="Q271" s="165"/>
      <c r="R271" s="165"/>
      <c r="S271" s="165"/>
      <c r="T271" s="166"/>
    </row>
    <row r="272" spans="2:20" ht="15.75" thickBot="1" x14ac:dyDescent="0.3">
      <c r="B272" s="163" t="s">
        <v>792</v>
      </c>
      <c r="C272" s="164" t="s">
        <v>525</v>
      </c>
      <c r="D272" s="58" t="s">
        <v>24</v>
      </c>
      <c r="E272" s="58" t="s">
        <v>16</v>
      </c>
      <c r="F272" s="59">
        <v>44494</v>
      </c>
      <c r="G272" s="60">
        <v>0.2</v>
      </c>
      <c r="H272" s="59"/>
      <c r="I272" s="60"/>
      <c r="J272" s="59"/>
      <c r="K272" s="60"/>
      <c r="L272" s="59"/>
      <c r="M272" s="82"/>
      <c r="N272" s="61"/>
      <c r="O272" s="60"/>
      <c r="P272" s="60"/>
      <c r="Q272" s="167"/>
      <c r="R272" s="167">
        <f>IF(F271&lt;=ExpH1,G271,0)+IF(H271&lt;=ExpH1,I271,0)+IF(J271&lt;=ExpH1,K271,0)+IF(L271&lt;=ExpH1,M271,0)+IF(N271&lt;=ExpH1,O271,0)+IF(F272&lt;=ExpH1,G272,0)+IF(H272&lt;=ExpH1,I272,0)+IF(J272&lt;=ExpH1,K272,0)+IF(L272&lt;=ExpH1,M272,0)+IF(N272&lt;=ExpH1,O272,0)</f>
        <v>0</v>
      </c>
      <c r="S272" s="167">
        <f>IF(F271&lt;=ExpQ3,G271,0)+IF(H271&lt;=ExpQ3,I271,0)+IF(J271&lt;=ExpQ3,K271,0)+IF(L271&lt;=ExpQ3,M271,0)+IF(N271&lt;=ExpQ3,O271,0)+IF(F272&lt;=ExpQ3,G272,0)+IF(H272&lt;=ExpQ3,I272,0)+IF(J272&lt;=ExpQ3,K272,0)+IF(L272&lt;=ExpQ3,M272,0)+IF(N272&lt;=ExpQ3,O272,0)</f>
        <v>0.6</v>
      </c>
      <c r="T272" s="168">
        <f>G271+I271+K271+M271+O271+(G272+I272+K272+M272+O272)</f>
        <v>0.8</v>
      </c>
    </row>
    <row r="273" spans="2:20" x14ac:dyDescent="0.25">
      <c r="B273" s="158" t="s">
        <v>786</v>
      </c>
      <c r="C273" s="159" t="s">
        <v>793</v>
      </c>
      <c r="D273" s="45" t="s">
        <v>24</v>
      </c>
      <c r="E273" s="45" t="s">
        <v>16</v>
      </c>
      <c r="F273" s="46">
        <v>44370</v>
      </c>
      <c r="G273" s="47">
        <v>0.6</v>
      </c>
      <c r="H273" s="46"/>
      <c r="I273" s="47"/>
      <c r="J273" s="46"/>
      <c r="K273" s="47"/>
      <c r="L273" s="46"/>
      <c r="M273" s="80"/>
      <c r="N273" s="48"/>
      <c r="O273" s="47"/>
      <c r="P273" s="47"/>
      <c r="Q273" s="160">
        <f t="shared" ref="Q273" si="129">IF(F273&lt;=ExpQ1,G273,0)+IF(H273&lt;=ExpQ1,I273,0)+IF(J273&lt;=ExpQ1,K273,0)+IF(L273&lt;=ExpQ1,M273,0)+IF(N273&lt;=ExpQ1,O273,0)</f>
        <v>0</v>
      </c>
      <c r="R273" s="160">
        <f t="shared" ref="R273" si="130">IF(F273&lt;=ExpH1,G273,0)+IF(H273&lt;=ExpH1,I273,0)+IF(J273&lt;=ExpH1,K273,0)+IF(L273&lt;=ExpH1,M273,0)+IF(N273&lt;=ExpH1,O273,0)</f>
        <v>0</v>
      </c>
      <c r="S273" s="160">
        <f t="shared" ref="S273" si="131">IF(F273&lt;=ExpQ3,G273,0)+IF(H273&lt;=ExpQ3,I273,0)+IF(J273&lt;=ExpQ3,K273,0)+IF(L273&lt;=ExpQ3,M273,0)+IF(N273&lt;=ExpQ3,O273,0)</f>
        <v>0.6</v>
      </c>
      <c r="T273" s="49">
        <f t="shared" ref="T273" si="132">G273+I273+K273+M273+O273</f>
        <v>0.6</v>
      </c>
    </row>
    <row r="274" spans="2:20" x14ac:dyDescent="0.25">
      <c r="B274" s="117" t="s">
        <v>526</v>
      </c>
      <c r="C274" s="136" t="s">
        <v>527</v>
      </c>
      <c r="D274" s="14" t="s">
        <v>15</v>
      </c>
      <c r="E274" s="14" t="s">
        <v>761</v>
      </c>
      <c r="F274" s="15">
        <v>44371</v>
      </c>
      <c r="G274" s="16">
        <f>0.045*0.85883*100</f>
        <v>3.8647349999999996</v>
      </c>
      <c r="H274" s="15">
        <v>44525</v>
      </c>
      <c r="I274" s="16">
        <f>0.045*0.84295*100</f>
        <v>3.7932749999999995</v>
      </c>
      <c r="J274" s="15"/>
      <c r="K274" s="16"/>
      <c r="L274" s="15"/>
      <c r="M274" s="63"/>
      <c r="N274" s="17"/>
      <c r="O274" s="16"/>
      <c r="P274" s="16"/>
      <c r="Q274" s="152">
        <f t="shared" si="110"/>
        <v>0</v>
      </c>
      <c r="R274" s="152">
        <f t="shared" si="111"/>
        <v>0</v>
      </c>
      <c r="S274" s="152">
        <f t="shared" si="112"/>
        <v>3.8647349999999996</v>
      </c>
      <c r="T274" s="18">
        <f t="shared" si="113"/>
        <v>7.6580099999999991</v>
      </c>
    </row>
    <row r="275" spans="2:20" x14ac:dyDescent="0.25">
      <c r="B275" s="117" t="s">
        <v>528</v>
      </c>
      <c r="C275" s="136" t="s">
        <v>529</v>
      </c>
      <c r="D275" s="14" t="s">
        <v>15</v>
      </c>
      <c r="E275" s="14" t="s">
        <v>16</v>
      </c>
      <c r="F275" s="15">
        <v>44400</v>
      </c>
      <c r="G275" s="16">
        <v>4.8600000000000003</v>
      </c>
      <c r="H275" s="15"/>
      <c r="I275" s="16"/>
      <c r="J275" s="15"/>
      <c r="K275" s="16"/>
      <c r="L275" s="15"/>
      <c r="M275" s="63"/>
      <c r="N275" s="17"/>
      <c r="O275" s="16"/>
      <c r="P275" s="16"/>
      <c r="Q275" s="152">
        <f t="shared" si="110"/>
        <v>0</v>
      </c>
      <c r="R275" s="152">
        <f t="shared" si="111"/>
        <v>0</v>
      </c>
      <c r="S275" s="152">
        <f t="shared" si="112"/>
        <v>4.8600000000000003</v>
      </c>
      <c r="T275" s="18">
        <f t="shared" si="113"/>
        <v>4.8600000000000003</v>
      </c>
    </row>
    <row r="276" spans="2:20" x14ac:dyDescent="0.25">
      <c r="B276" s="117" t="s">
        <v>530</v>
      </c>
      <c r="C276" s="136" t="s">
        <v>531</v>
      </c>
      <c r="D276" s="14" t="s">
        <v>15</v>
      </c>
      <c r="E276" s="14" t="s">
        <v>200</v>
      </c>
      <c r="F276" s="147">
        <v>44287</v>
      </c>
      <c r="G276" s="148">
        <f>6*0.95841035*0.95582423</f>
        <v>5.4964310088766837</v>
      </c>
      <c r="H276" s="15"/>
      <c r="I276" s="16"/>
      <c r="J276" s="15"/>
      <c r="K276" s="16"/>
      <c r="L276" s="15"/>
      <c r="M276" s="63"/>
      <c r="N276" s="17"/>
      <c r="O276" s="16"/>
      <c r="P276" s="16"/>
      <c r="Q276" s="152">
        <f t="shared" si="110"/>
        <v>0</v>
      </c>
      <c r="R276" s="152">
        <f t="shared" si="111"/>
        <v>5.4964310088766837</v>
      </c>
      <c r="S276" s="152">
        <f t="shared" si="112"/>
        <v>5.4964310088766837</v>
      </c>
      <c r="T276" s="18">
        <f t="shared" si="113"/>
        <v>5.4964310088766837</v>
      </c>
    </row>
    <row r="277" spans="2:20" x14ac:dyDescent="0.25">
      <c r="B277" s="117" t="s">
        <v>532</v>
      </c>
      <c r="C277" s="136" t="s">
        <v>533</v>
      </c>
      <c r="D277" s="14" t="s">
        <v>15</v>
      </c>
      <c r="E277" s="14" t="s">
        <v>16</v>
      </c>
      <c r="F277" s="147">
        <v>44305</v>
      </c>
      <c r="G277" s="148">
        <f>1.69*0.93744731</f>
        <v>1.5842859539</v>
      </c>
      <c r="H277" s="15"/>
      <c r="I277" s="16"/>
      <c r="J277" s="15"/>
      <c r="K277" s="16"/>
      <c r="L277" s="15"/>
      <c r="M277" s="63"/>
      <c r="N277" s="17"/>
      <c r="O277" s="16"/>
      <c r="P277" s="16"/>
      <c r="Q277" s="152">
        <f t="shared" si="110"/>
        <v>0</v>
      </c>
      <c r="R277" s="152">
        <f t="shared" si="111"/>
        <v>1.5842859539</v>
      </c>
      <c r="S277" s="152">
        <f t="shared" si="112"/>
        <v>1.5842859539</v>
      </c>
      <c r="T277" s="18">
        <f t="shared" si="113"/>
        <v>1.5842859539</v>
      </c>
    </row>
    <row r="278" spans="2:20" x14ac:dyDescent="0.25">
      <c r="B278" s="117" t="s">
        <v>534</v>
      </c>
      <c r="C278" s="136" t="s">
        <v>535</v>
      </c>
      <c r="D278" s="14" t="s">
        <v>15</v>
      </c>
      <c r="E278" s="14" t="s">
        <v>16</v>
      </c>
      <c r="F278" s="15">
        <v>44309</v>
      </c>
      <c r="G278" s="16">
        <v>1.2</v>
      </c>
      <c r="H278" s="15"/>
      <c r="I278" s="16"/>
      <c r="J278" s="15"/>
      <c r="K278" s="16"/>
      <c r="L278" s="15"/>
      <c r="M278" s="63"/>
      <c r="N278" s="17"/>
      <c r="O278" s="16"/>
      <c r="P278" s="16"/>
      <c r="Q278" s="152">
        <f t="shared" si="110"/>
        <v>0</v>
      </c>
      <c r="R278" s="152">
        <f t="shared" si="111"/>
        <v>1.2</v>
      </c>
      <c r="S278" s="152">
        <f t="shared" si="112"/>
        <v>1.2</v>
      </c>
      <c r="T278" s="18">
        <f t="shared" si="113"/>
        <v>1.2</v>
      </c>
    </row>
    <row r="279" spans="2:20" x14ac:dyDescent="0.25">
      <c r="B279" s="117" t="s">
        <v>744</v>
      </c>
      <c r="C279" s="136" t="s">
        <v>745</v>
      </c>
      <c r="D279" s="14" t="s">
        <v>15</v>
      </c>
      <c r="E279" s="14" t="s">
        <v>16</v>
      </c>
      <c r="F279" s="15">
        <v>44322</v>
      </c>
      <c r="G279" s="16">
        <v>0.6</v>
      </c>
      <c r="H279" s="15"/>
      <c r="I279" s="16"/>
      <c r="J279" s="15"/>
      <c r="K279" s="16"/>
      <c r="L279" s="15"/>
      <c r="M279" s="63"/>
      <c r="N279" s="17"/>
      <c r="O279" s="16"/>
      <c r="P279" s="16"/>
      <c r="Q279" s="152">
        <f t="shared" ref="Q279" si="133">IF(F279&lt;=ExpQ1,G279,0)+IF(H279&lt;=ExpQ1,I279,0)+IF(J279&lt;=ExpQ1,K279,0)+IF(L279&lt;=ExpQ1,M279,0)+IF(N279&lt;=ExpQ1,O279,0)</f>
        <v>0</v>
      </c>
      <c r="R279" s="152">
        <f t="shared" ref="R279" si="134">IF(F279&lt;=ExpH1,G279,0)+IF(H279&lt;=ExpH1,I279,0)+IF(J279&lt;=ExpH1,K279,0)+IF(L279&lt;=ExpH1,M279,0)+IF(N279&lt;=ExpH1,O279,0)</f>
        <v>0.6</v>
      </c>
      <c r="S279" s="152">
        <f t="shared" ref="S279" si="135">IF(F279&lt;=ExpQ3,G279,0)+IF(H279&lt;=ExpQ3,I279,0)+IF(J279&lt;=ExpQ3,K279,0)+IF(L279&lt;=ExpQ3,M279,0)+IF(N279&lt;=ExpQ3,O279,0)</f>
        <v>0.6</v>
      </c>
      <c r="T279" s="18">
        <f t="shared" ref="T279" si="136">G279+I279+K279+M279+O279</f>
        <v>0.6</v>
      </c>
    </row>
    <row r="280" spans="2:20" x14ac:dyDescent="0.25">
      <c r="B280" s="117" t="s">
        <v>542</v>
      </c>
      <c r="C280" s="136" t="s">
        <v>543</v>
      </c>
      <c r="D280" s="14" t="s">
        <v>15</v>
      </c>
      <c r="E280" s="14" t="s">
        <v>16</v>
      </c>
      <c r="F280" s="15">
        <v>44312</v>
      </c>
      <c r="G280" s="16">
        <v>0.89</v>
      </c>
      <c r="H280" s="15">
        <v>44439</v>
      </c>
      <c r="I280" s="16">
        <v>0.54</v>
      </c>
      <c r="J280" s="15"/>
      <c r="K280" s="16"/>
      <c r="L280" s="15"/>
      <c r="M280" s="63"/>
      <c r="N280" s="17"/>
      <c r="O280" s="16"/>
      <c r="P280" s="16"/>
      <c r="Q280" s="152">
        <f t="shared" si="110"/>
        <v>0</v>
      </c>
      <c r="R280" s="152">
        <f t="shared" si="111"/>
        <v>0.89</v>
      </c>
      <c r="S280" s="152">
        <f t="shared" si="112"/>
        <v>1.4300000000000002</v>
      </c>
      <c r="T280" s="18">
        <f t="shared" si="113"/>
        <v>1.4300000000000002</v>
      </c>
    </row>
    <row r="281" spans="2:20" x14ac:dyDescent="0.25">
      <c r="B281" s="117" t="s">
        <v>544</v>
      </c>
      <c r="C281" s="136" t="s">
        <v>545</v>
      </c>
      <c r="D281" s="14" t="s">
        <v>15</v>
      </c>
      <c r="E281" s="14" t="s">
        <v>761</v>
      </c>
      <c r="F281" s="15">
        <v>44357</v>
      </c>
      <c r="G281" s="16">
        <v>14</v>
      </c>
      <c r="H281" s="15">
        <v>44483</v>
      </c>
      <c r="I281" s="16">
        <v>12.5</v>
      </c>
      <c r="J281" s="15"/>
      <c r="K281" s="16"/>
      <c r="L281" s="15"/>
      <c r="M281" s="63"/>
      <c r="N281" s="17"/>
      <c r="O281" s="16"/>
      <c r="P281" s="16"/>
      <c r="Q281" s="152">
        <f t="shared" si="110"/>
        <v>0</v>
      </c>
      <c r="R281" s="152">
        <f t="shared" si="111"/>
        <v>14</v>
      </c>
      <c r="S281" s="152">
        <f t="shared" si="112"/>
        <v>14</v>
      </c>
      <c r="T281" s="18">
        <f t="shared" si="113"/>
        <v>26.5</v>
      </c>
    </row>
    <row r="282" spans="2:20" x14ac:dyDescent="0.25">
      <c r="B282" s="117" t="s">
        <v>769</v>
      </c>
      <c r="C282" s="136" t="s">
        <v>770</v>
      </c>
      <c r="D282" s="14" t="s">
        <v>755</v>
      </c>
      <c r="E282" s="14" t="s">
        <v>475</v>
      </c>
      <c r="F282" s="147">
        <v>44323</v>
      </c>
      <c r="G282" s="148">
        <f>20*0.95475113</f>
        <v>19.0950226</v>
      </c>
      <c r="H282" s="15"/>
      <c r="I282" s="16"/>
      <c r="J282" s="15"/>
      <c r="K282" s="16"/>
      <c r="L282" s="15"/>
      <c r="M282" s="63"/>
      <c r="N282" s="17"/>
      <c r="O282" s="16"/>
      <c r="P282" s="16"/>
      <c r="Q282" s="152">
        <f t="shared" ref="Q282" si="137">IF(F282&lt;=ExpQ1,G282,0)+IF(H282&lt;=ExpQ1,I282,0)+IF(J282&lt;=ExpQ1,K282,0)+IF(L282&lt;=ExpQ1,M282,0)+IF(N282&lt;=ExpQ1,O282,0)</f>
        <v>0</v>
      </c>
      <c r="R282" s="152">
        <f t="shared" ref="R282" si="138">IF(F282&lt;=ExpH1,G282,0)+IF(H282&lt;=ExpH1,I282,0)+IF(J282&lt;=ExpH1,K282,0)+IF(L282&lt;=ExpH1,M282,0)+IF(N282&lt;=ExpH1,O282,0)</f>
        <v>19.0950226</v>
      </c>
      <c r="S282" s="152">
        <f t="shared" ref="S282" si="139">IF(F282&lt;=ExpQ3,G282,0)+IF(H282&lt;=ExpQ3,I282,0)+IF(J282&lt;=ExpQ3,K282,0)+IF(L282&lt;=ExpQ3,M282,0)+IF(N282&lt;=ExpQ3,O282,0)</f>
        <v>19.0950226</v>
      </c>
      <c r="T282" s="18">
        <f t="shared" si="113"/>
        <v>19.0950226</v>
      </c>
    </row>
    <row r="283" spans="2:20" x14ac:dyDescent="0.25">
      <c r="B283" s="117" t="s">
        <v>548</v>
      </c>
      <c r="C283" s="136" t="s">
        <v>549</v>
      </c>
      <c r="D283" s="14" t="s">
        <v>15</v>
      </c>
      <c r="E283" s="14" t="s">
        <v>21</v>
      </c>
      <c r="F283" s="15">
        <v>44295</v>
      </c>
      <c r="G283" s="16">
        <v>20</v>
      </c>
      <c r="H283" s="15"/>
      <c r="I283" s="16"/>
      <c r="J283" s="15"/>
      <c r="K283" s="16"/>
      <c r="L283" s="15"/>
      <c r="M283" s="63"/>
      <c r="N283" s="17"/>
      <c r="O283" s="16"/>
      <c r="P283" s="16"/>
      <c r="Q283" s="152">
        <f t="shared" si="110"/>
        <v>0</v>
      </c>
      <c r="R283" s="152">
        <f t="shared" si="111"/>
        <v>20</v>
      </c>
      <c r="S283" s="152">
        <f t="shared" si="112"/>
        <v>20</v>
      </c>
      <c r="T283" s="18">
        <f t="shared" si="113"/>
        <v>20</v>
      </c>
    </row>
    <row r="284" spans="2:20" x14ac:dyDescent="0.25">
      <c r="B284" s="134" t="s">
        <v>557</v>
      </c>
      <c r="C284" s="135" t="s">
        <v>584</v>
      </c>
      <c r="D284" s="135" t="s">
        <v>55</v>
      </c>
      <c r="E284" s="22" t="s">
        <v>56</v>
      </c>
      <c r="F284" s="23">
        <v>44238</v>
      </c>
      <c r="G284" s="24">
        <v>1.48</v>
      </c>
      <c r="H284" s="23">
        <v>44336</v>
      </c>
      <c r="I284" s="24">
        <v>1.48</v>
      </c>
      <c r="J284" s="23">
        <v>44428</v>
      </c>
      <c r="K284" s="24">
        <v>1.48</v>
      </c>
      <c r="L284" s="23">
        <v>44518</v>
      </c>
      <c r="M284" s="24">
        <v>1.48</v>
      </c>
      <c r="N284" s="25"/>
      <c r="O284" s="24"/>
      <c r="P284" s="24"/>
      <c r="Q284" s="24"/>
      <c r="R284" s="24"/>
      <c r="S284" s="24"/>
      <c r="T284" s="26">
        <f t="shared" si="113"/>
        <v>5.92</v>
      </c>
    </row>
    <row r="285" spans="2:20" x14ac:dyDescent="0.25">
      <c r="B285" s="134" t="s">
        <v>563</v>
      </c>
      <c r="C285" s="135" t="s">
        <v>590</v>
      </c>
      <c r="D285" s="135" t="s">
        <v>55</v>
      </c>
      <c r="E285" s="22" t="s">
        <v>56</v>
      </c>
      <c r="F285" s="23">
        <v>44300</v>
      </c>
      <c r="G285" s="24">
        <v>1.3</v>
      </c>
      <c r="H285" s="23">
        <v>44391</v>
      </c>
      <c r="I285" s="24">
        <v>1.3</v>
      </c>
      <c r="J285" s="23">
        <v>44483</v>
      </c>
      <c r="K285" s="24">
        <v>1.3</v>
      </c>
      <c r="L285" s="23">
        <v>44574</v>
      </c>
      <c r="M285" s="77">
        <v>1.41</v>
      </c>
      <c r="N285" s="25"/>
      <c r="O285" s="24"/>
      <c r="P285" s="24"/>
      <c r="Q285" s="24"/>
      <c r="R285" s="24"/>
      <c r="S285" s="24"/>
      <c r="T285" s="26">
        <f t="shared" si="113"/>
        <v>5.3100000000000005</v>
      </c>
    </row>
    <row r="286" spans="2:20" x14ac:dyDescent="0.25">
      <c r="B286" s="134" t="s">
        <v>554</v>
      </c>
      <c r="C286" s="135" t="s">
        <v>581</v>
      </c>
      <c r="D286" s="135" t="s">
        <v>55</v>
      </c>
      <c r="E286" s="22" t="s">
        <v>56</v>
      </c>
      <c r="F286" s="23">
        <v>44279</v>
      </c>
      <c r="G286" s="24">
        <v>0.86</v>
      </c>
      <c r="H286" s="23">
        <v>44361</v>
      </c>
      <c r="I286" s="24">
        <v>0.86</v>
      </c>
      <c r="J286" s="23">
        <v>44361</v>
      </c>
      <c r="K286" s="24">
        <v>0.9</v>
      </c>
      <c r="L286" s="23">
        <v>44552</v>
      </c>
      <c r="M286" s="77">
        <v>0.9</v>
      </c>
      <c r="N286" s="25"/>
      <c r="O286" s="24"/>
      <c r="P286" s="24"/>
      <c r="Q286" s="24"/>
      <c r="R286" s="24"/>
      <c r="S286" s="24"/>
      <c r="T286" s="26">
        <f t="shared" si="113"/>
        <v>3.52</v>
      </c>
    </row>
    <row r="287" spans="2:20" x14ac:dyDescent="0.25">
      <c r="B287" s="134" t="s">
        <v>53</v>
      </c>
      <c r="C287" s="137" t="s">
        <v>54</v>
      </c>
      <c r="D287" s="135" t="s">
        <v>55</v>
      </c>
      <c r="E287" s="22" t="s">
        <v>56</v>
      </c>
      <c r="F287" s="23"/>
      <c r="G287" s="24"/>
      <c r="H287" s="23"/>
      <c r="I287" s="24"/>
      <c r="J287" s="23"/>
      <c r="K287" s="24"/>
      <c r="L287" s="23"/>
      <c r="M287" s="77"/>
      <c r="N287" s="25"/>
      <c r="O287" s="24"/>
      <c r="P287" s="24"/>
      <c r="Q287" s="24"/>
      <c r="R287" s="24"/>
      <c r="S287" s="24"/>
      <c r="T287" s="26">
        <f t="shared" si="113"/>
        <v>0</v>
      </c>
    </row>
    <row r="288" spans="2:20" x14ac:dyDescent="0.25">
      <c r="B288" s="134" t="s">
        <v>556</v>
      </c>
      <c r="C288" s="137" t="s">
        <v>583</v>
      </c>
      <c r="D288" s="135" t="s">
        <v>55</v>
      </c>
      <c r="E288" s="22" t="s">
        <v>56</v>
      </c>
      <c r="F288" s="23">
        <v>44238</v>
      </c>
      <c r="G288" s="24">
        <v>1.76</v>
      </c>
      <c r="H288" s="23">
        <v>44330</v>
      </c>
      <c r="I288" s="24">
        <v>1.76</v>
      </c>
      <c r="J288" s="23">
        <v>44424</v>
      </c>
      <c r="K288" s="24">
        <v>1.76</v>
      </c>
      <c r="L288" s="23">
        <v>44515</v>
      </c>
      <c r="M288" s="77">
        <v>1.76</v>
      </c>
      <c r="N288" s="25"/>
      <c r="O288" s="24"/>
      <c r="P288" s="24"/>
      <c r="Q288" s="24"/>
      <c r="R288" s="24"/>
      <c r="S288" s="24"/>
      <c r="T288" s="26">
        <f t="shared" si="113"/>
        <v>7.04</v>
      </c>
    </row>
    <row r="289" spans="1:21" x14ac:dyDescent="0.25">
      <c r="B289" s="134" t="s">
        <v>61</v>
      </c>
      <c r="C289" s="137" t="s">
        <v>62</v>
      </c>
      <c r="D289" s="135" t="s">
        <v>55</v>
      </c>
      <c r="E289" s="22" t="s">
        <v>56</v>
      </c>
      <c r="F289" s="23">
        <v>44232</v>
      </c>
      <c r="G289" s="24">
        <v>0.20499999999999999</v>
      </c>
      <c r="H289" s="23">
        <v>44323</v>
      </c>
      <c r="I289" s="24">
        <v>0.22</v>
      </c>
      <c r="J289" s="23">
        <v>44414</v>
      </c>
      <c r="K289" s="24">
        <v>0.22</v>
      </c>
      <c r="L289" s="23">
        <v>44505</v>
      </c>
      <c r="M289" s="77">
        <v>0.22</v>
      </c>
      <c r="N289" s="25"/>
      <c r="O289" s="24"/>
      <c r="P289" s="24"/>
      <c r="Q289" s="24"/>
      <c r="R289" s="24"/>
      <c r="S289" s="24"/>
      <c r="T289" s="26">
        <f t="shared" si="113"/>
        <v>0.86499999999999999</v>
      </c>
    </row>
    <row r="290" spans="1:21" x14ac:dyDescent="0.25">
      <c r="B290" s="134" t="s">
        <v>71</v>
      </c>
      <c r="C290" s="137" t="s">
        <v>72</v>
      </c>
      <c r="D290" s="135" t="s">
        <v>55</v>
      </c>
      <c r="E290" s="22" t="s">
        <v>56</v>
      </c>
      <c r="F290" s="23">
        <v>44294</v>
      </c>
      <c r="G290" s="24">
        <v>0.52</v>
      </c>
      <c r="H290" s="23">
        <v>44385</v>
      </c>
      <c r="I290" s="24">
        <v>0.52</v>
      </c>
      <c r="J290" s="23">
        <v>44476</v>
      </c>
      <c r="K290" s="24">
        <v>0.52</v>
      </c>
      <c r="L290" s="23">
        <v>44568</v>
      </c>
      <c r="M290" s="77">
        <v>0.52</v>
      </c>
      <c r="N290" s="25"/>
      <c r="O290" s="24"/>
      <c r="P290" s="24"/>
      <c r="Q290" s="24"/>
      <c r="R290" s="24"/>
      <c r="S290" s="24"/>
      <c r="T290" s="26">
        <f t="shared" si="113"/>
        <v>2.08</v>
      </c>
    </row>
    <row r="291" spans="1:21" x14ac:dyDescent="0.25">
      <c r="B291" s="134" t="s">
        <v>112</v>
      </c>
      <c r="C291" s="137" t="s">
        <v>113</v>
      </c>
      <c r="D291" s="135" t="s">
        <v>55</v>
      </c>
      <c r="E291" s="22" t="s">
        <v>56</v>
      </c>
      <c r="F291" s="23">
        <v>44259</v>
      </c>
      <c r="G291" s="24">
        <v>0.18</v>
      </c>
      <c r="H291" s="23">
        <v>44350</v>
      </c>
      <c r="I291" s="24">
        <v>0.18</v>
      </c>
      <c r="J291" s="23">
        <v>44441</v>
      </c>
      <c r="K291" s="24">
        <v>0.21</v>
      </c>
      <c r="L291" s="23">
        <v>44532</v>
      </c>
      <c r="M291" s="77">
        <v>0.21</v>
      </c>
      <c r="N291" s="25"/>
      <c r="O291" s="24"/>
      <c r="P291" s="24"/>
      <c r="Q291" s="24"/>
      <c r="R291" s="24"/>
      <c r="S291" s="24"/>
      <c r="T291" s="26">
        <f t="shared" si="113"/>
        <v>0.77999999999999992</v>
      </c>
    </row>
    <row r="292" spans="1:21" x14ac:dyDescent="0.25">
      <c r="B292" s="134" t="s">
        <v>564</v>
      </c>
      <c r="C292" s="137" t="s">
        <v>591</v>
      </c>
      <c r="D292" s="135" t="s">
        <v>55</v>
      </c>
      <c r="E292" s="22" t="s">
        <v>56</v>
      </c>
      <c r="F292" s="23"/>
      <c r="G292" s="24"/>
      <c r="H292" s="23"/>
      <c r="I292" s="24"/>
      <c r="J292" s="23"/>
      <c r="K292" s="24"/>
      <c r="L292" s="23"/>
      <c r="M292" s="77"/>
      <c r="N292" s="25"/>
      <c r="O292" s="24"/>
      <c r="P292" s="24"/>
      <c r="Q292" s="24"/>
      <c r="R292" s="24"/>
      <c r="S292" s="24"/>
      <c r="T292" s="26">
        <f t="shared" si="113"/>
        <v>0</v>
      </c>
    </row>
    <row r="293" spans="1:21" x14ac:dyDescent="0.25">
      <c r="B293" s="134" t="s">
        <v>566</v>
      </c>
      <c r="C293" s="137" t="s">
        <v>593</v>
      </c>
      <c r="D293" s="135" t="s">
        <v>55</v>
      </c>
      <c r="E293" s="22" t="s">
        <v>56</v>
      </c>
      <c r="F293" s="23">
        <v>44286</v>
      </c>
      <c r="G293" s="24">
        <v>0.49</v>
      </c>
      <c r="H293" s="23">
        <v>44378</v>
      </c>
      <c r="I293" s="24">
        <v>0.49</v>
      </c>
      <c r="J293" s="23">
        <v>44469</v>
      </c>
      <c r="K293" s="24">
        <v>0.49</v>
      </c>
      <c r="L293" s="23">
        <v>44202</v>
      </c>
      <c r="M293" s="77">
        <v>0.54</v>
      </c>
      <c r="N293" s="25"/>
      <c r="O293" s="24"/>
      <c r="P293" s="24"/>
      <c r="Q293" s="24"/>
      <c r="R293" s="24"/>
      <c r="S293" s="24"/>
      <c r="T293" s="26">
        <f t="shared" si="113"/>
        <v>2.0099999999999998</v>
      </c>
    </row>
    <row r="294" spans="1:21" x14ac:dyDescent="0.25">
      <c r="B294" s="134" t="s">
        <v>568</v>
      </c>
      <c r="C294" s="137" t="s">
        <v>595</v>
      </c>
      <c r="D294" s="135" t="s">
        <v>55</v>
      </c>
      <c r="E294" s="22" t="s">
        <v>56</v>
      </c>
      <c r="F294" s="23">
        <v>44274</v>
      </c>
      <c r="G294" s="24">
        <v>3.6</v>
      </c>
      <c r="H294" s="23">
        <v>44368</v>
      </c>
      <c r="I294" s="24">
        <v>3.6</v>
      </c>
      <c r="J294" s="23">
        <v>44460</v>
      </c>
      <c r="K294" s="24">
        <v>3.6</v>
      </c>
      <c r="L294" s="23">
        <v>44551</v>
      </c>
      <c r="M294" s="24">
        <v>4.0999999999999996</v>
      </c>
      <c r="N294" s="25"/>
      <c r="O294" s="24"/>
      <c r="P294" s="24"/>
      <c r="Q294" s="24"/>
      <c r="R294" s="24"/>
      <c r="S294" s="24"/>
      <c r="T294" s="26">
        <f t="shared" si="113"/>
        <v>14.9</v>
      </c>
    </row>
    <row r="295" spans="1:21" x14ac:dyDescent="0.25">
      <c r="B295" s="134" t="s">
        <v>141</v>
      </c>
      <c r="C295" s="137" t="s">
        <v>142</v>
      </c>
      <c r="D295" s="135" t="s">
        <v>55</v>
      </c>
      <c r="E295" s="22" t="s">
        <v>56</v>
      </c>
      <c r="F295" s="23">
        <v>44243</v>
      </c>
      <c r="G295" s="24">
        <v>1.29</v>
      </c>
      <c r="H295" s="23">
        <v>44334</v>
      </c>
      <c r="I295" s="24">
        <v>1.34</v>
      </c>
      <c r="J295" s="23">
        <v>44426</v>
      </c>
      <c r="K295" s="24">
        <v>1.34</v>
      </c>
      <c r="L295" s="23">
        <v>44517</v>
      </c>
      <c r="M295" s="77">
        <v>1.34</v>
      </c>
      <c r="N295" s="25"/>
      <c r="O295" s="24"/>
      <c r="P295" s="24"/>
      <c r="Q295" s="24"/>
      <c r="R295" s="24"/>
      <c r="S295" s="24"/>
      <c r="T295" s="26">
        <f t="shared" si="113"/>
        <v>5.31</v>
      </c>
    </row>
    <row r="296" spans="1:21" x14ac:dyDescent="0.25">
      <c r="B296" s="134" t="s">
        <v>143</v>
      </c>
      <c r="C296" s="137" t="s">
        <v>144</v>
      </c>
      <c r="D296" s="135" t="s">
        <v>55</v>
      </c>
      <c r="E296" s="22" t="s">
        <v>56</v>
      </c>
      <c r="F296" s="23">
        <v>44292</v>
      </c>
      <c r="G296" s="24">
        <v>0.37</v>
      </c>
      <c r="H296" s="23">
        <v>44379</v>
      </c>
      <c r="I296" s="24">
        <v>0.37</v>
      </c>
      <c r="J296" s="23">
        <v>44473</v>
      </c>
      <c r="K296" s="24">
        <v>0.37</v>
      </c>
      <c r="L296" s="23">
        <v>44565</v>
      </c>
      <c r="M296" s="77">
        <v>0.37</v>
      </c>
      <c r="N296" s="25"/>
      <c r="O296" s="24"/>
      <c r="P296" s="24"/>
      <c r="Q296" s="24"/>
      <c r="R296" s="24"/>
      <c r="S296" s="24"/>
      <c r="T296" s="26">
        <f t="shared" si="113"/>
        <v>1.48</v>
      </c>
    </row>
    <row r="297" spans="1:21" x14ac:dyDescent="0.25">
      <c r="B297" s="134" t="s">
        <v>145</v>
      </c>
      <c r="C297" s="137" t="s">
        <v>146</v>
      </c>
      <c r="D297" s="135" t="s">
        <v>55</v>
      </c>
      <c r="E297" s="22" t="s">
        <v>56</v>
      </c>
      <c r="F297" s="23">
        <v>44225</v>
      </c>
      <c r="G297" s="24">
        <v>0.51</v>
      </c>
      <c r="H297" s="23">
        <v>44316</v>
      </c>
      <c r="I297" s="24">
        <v>0.51</v>
      </c>
      <c r="J297" s="23">
        <v>44407</v>
      </c>
      <c r="K297" s="24">
        <v>0.51</v>
      </c>
      <c r="L297" s="23">
        <v>44498</v>
      </c>
      <c r="M297" s="77">
        <v>0.51</v>
      </c>
      <c r="N297" s="25"/>
      <c r="O297" s="24"/>
      <c r="P297" s="24"/>
      <c r="Q297" s="24"/>
      <c r="R297" s="24"/>
      <c r="S297" s="24"/>
      <c r="T297" s="26">
        <f t="shared" si="113"/>
        <v>2.04</v>
      </c>
    </row>
    <row r="298" spans="1:21" x14ac:dyDescent="0.25">
      <c r="B298" s="134" t="s">
        <v>147</v>
      </c>
      <c r="C298" s="137" t="s">
        <v>148</v>
      </c>
      <c r="D298" s="135" t="s">
        <v>55</v>
      </c>
      <c r="E298" s="22" t="s">
        <v>56</v>
      </c>
      <c r="F298" s="147">
        <v>44264</v>
      </c>
      <c r="G298" s="148">
        <f>0.9*0.98580538</f>
        <v>0.88722484199999996</v>
      </c>
      <c r="H298" s="147">
        <v>44356</v>
      </c>
      <c r="I298" s="148">
        <f>0.9*0.98580538</f>
        <v>0.88722484199999996</v>
      </c>
      <c r="J298" s="147">
        <v>44448</v>
      </c>
      <c r="K298" s="148">
        <f>0.9*0.98580538</f>
        <v>0.88722484199999996</v>
      </c>
      <c r="L298" s="147">
        <v>44539</v>
      </c>
      <c r="M298" s="148">
        <f>0.9*0.98580538</f>
        <v>0.88722484199999996</v>
      </c>
      <c r="N298" s="25"/>
      <c r="O298" s="24"/>
      <c r="P298" s="24"/>
      <c r="Q298" s="24"/>
      <c r="R298" s="24"/>
      <c r="S298" s="24"/>
      <c r="T298" s="26">
        <f t="shared" si="113"/>
        <v>3.5488993679999998</v>
      </c>
    </row>
    <row r="299" spans="1:21" x14ac:dyDescent="0.25">
      <c r="B299" s="134" t="s">
        <v>149</v>
      </c>
      <c r="C299" s="137" t="s">
        <v>150</v>
      </c>
      <c r="D299" s="135" t="s">
        <v>55</v>
      </c>
      <c r="E299" s="22" t="s">
        <v>56</v>
      </c>
      <c r="F299" s="23">
        <v>44267</v>
      </c>
      <c r="G299" s="24">
        <v>0.42</v>
      </c>
      <c r="H299" s="23">
        <v>44361</v>
      </c>
      <c r="I299" s="24">
        <v>0.42</v>
      </c>
      <c r="J299" s="23">
        <v>44453</v>
      </c>
      <c r="K299" s="24">
        <v>0.42</v>
      </c>
      <c r="L299" s="23">
        <v>44530</v>
      </c>
      <c r="M299" s="77">
        <v>0.42</v>
      </c>
      <c r="N299" s="25"/>
      <c r="O299" s="24"/>
      <c r="P299" s="24"/>
      <c r="Q299" s="24"/>
      <c r="R299" s="24"/>
      <c r="S299" s="24"/>
      <c r="T299" s="26">
        <f t="shared" si="113"/>
        <v>1.68</v>
      </c>
    </row>
    <row r="300" spans="1:21" x14ac:dyDescent="0.25">
      <c r="B300" s="134" t="s">
        <v>550</v>
      </c>
      <c r="C300" s="137" t="s">
        <v>155</v>
      </c>
      <c r="D300" s="135" t="s">
        <v>55</v>
      </c>
      <c r="E300" s="22" t="s">
        <v>56</v>
      </c>
      <c r="F300" s="23">
        <v>44292</v>
      </c>
      <c r="G300" s="24">
        <v>0.25</v>
      </c>
      <c r="H300" s="23">
        <v>44383</v>
      </c>
      <c r="I300" s="24">
        <v>0.25</v>
      </c>
      <c r="J300" s="23">
        <v>44474</v>
      </c>
      <c r="K300" s="24">
        <v>0.25</v>
      </c>
      <c r="L300" s="23">
        <v>44565</v>
      </c>
      <c r="M300" s="24">
        <v>0.25</v>
      </c>
      <c r="N300" s="25"/>
      <c r="O300" s="24"/>
      <c r="P300" s="24"/>
      <c r="Q300" s="24"/>
      <c r="R300" s="24"/>
      <c r="S300" s="24"/>
      <c r="T300" s="26">
        <f t="shared" si="113"/>
        <v>1</v>
      </c>
    </row>
    <row r="301" spans="1:21" x14ac:dyDescent="0.25">
      <c r="A301" s="33"/>
      <c r="B301" s="134" t="s">
        <v>160</v>
      </c>
      <c r="C301" s="137" t="s">
        <v>161</v>
      </c>
      <c r="D301" s="135" t="s">
        <v>55</v>
      </c>
      <c r="E301" s="22" t="s">
        <v>56</v>
      </c>
      <c r="F301" s="23">
        <v>44238</v>
      </c>
      <c r="G301" s="24">
        <v>0.43</v>
      </c>
      <c r="H301" s="23">
        <v>44329</v>
      </c>
      <c r="I301" s="24">
        <v>0.43</v>
      </c>
      <c r="J301" s="23">
        <v>44400</v>
      </c>
      <c r="K301" s="24">
        <v>0.43</v>
      </c>
      <c r="L301" s="23">
        <v>44496</v>
      </c>
      <c r="M301" s="77">
        <v>0.46</v>
      </c>
      <c r="N301" s="25">
        <v>44561</v>
      </c>
      <c r="O301" s="24">
        <v>0.2</v>
      </c>
      <c r="P301" s="24"/>
      <c r="Q301" s="24"/>
      <c r="R301" s="24"/>
      <c r="S301" s="24"/>
      <c r="T301" s="26">
        <f t="shared" si="113"/>
        <v>1.95</v>
      </c>
      <c r="U301" s="36"/>
    </row>
    <row r="302" spans="1:21" x14ac:dyDescent="0.25">
      <c r="B302" s="134" t="s">
        <v>577</v>
      </c>
      <c r="C302" s="137" t="s">
        <v>604</v>
      </c>
      <c r="D302" s="135" t="s">
        <v>55</v>
      </c>
      <c r="E302" s="22" t="s">
        <v>56</v>
      </c>
      <c r="F302" s="23">
        <v>44217</v>
      </c>
      <c r="G302" s="24">
        <v>0.5</v>
      </c>
      <c r="H302" s="23">
        <v>44308</v>
      </c>
      <c r="I302" s="24">
        <v>0.5</v>
      </c>
      <c r="J302" s="23">
        <v>44490</v>
      </c>
      <c r="K302" s="24">
        <v>0.5</v>
      </c>
      <c r="L302" s="23">
        <v>44581</v>
      </c>
      <c r="M302" s="77">
        <v>0.55000000000000004</v>
      </c>
      <c r="N302" s="25"/>
      <c r="O302" s="24"/>
      <c r="P302" s="24"/>
      <c r="Q302" s="24"/>
      <c r="R302" s="24"/>
      <c r="S302" s="24"/>
      <c r="T302" s="26">
        <f t="shared" si="113"/>
        <v>2.0499999999999998</v>
      </c>
    </row>
    <row r="303" spans="1:21" x14ac:dyDescent="0.25">
      <c r="B303" s="134" t="s">
        <v>192</v>
      </c>
      <c r="C303" s="137" t="s">
        <v>193</v>
      </c>
      <c r="D303" s="135" t="s">
        <v>55</v>
      </c>
      <c r="E303" s="22" t="s">
        <v>56</v>
      </c>
      <c r="F303" s="23">
        <v>44238</v>
      </c>
      <c r="G303" s="24">
        <v>0.96499999999999997</v>
      </c>
      <c r="H303" s="23">
        <v>44329</v>
      </c>
      <c r="I303" s="24">
        <v>0.96499999999999997</v>
      </c>
      <c r="J303" s="23">
        <v>44420</v>
      </c>
      <c r="K303" s="24">
        <v>0.98499999999999999</v>
      </c>
      <c r="L303" s="23">
        <v>44510</v>
      </c>
      <c r="M303" s="77">
        <v>0.98499999999999999</v>
      </c>
      <c r="N303" s="25"/>
      <c r="O303" s="24"/>
      <c r="P303" s="24"/>
      <c r="Q303" s="24"/>
      <c r="R303" s="24"/>
      <c r="S303" s="24"/>
      <c r="T303" s="26">
        <f t="shared" si="113"/>
        <v>3.9</v>
      </c>
    </row>
    <row r="304" spans="1:21" x14ac:dyDescent="0.25">
      <c r="B304" s="134" t="s">
        <v>575</v>
      </c>
      <c r="C304" s="137" t="s">
        <v>602</v>
      </c>
      <c r="D304" s="135" t="s">
        <v>55</v>
      </c>
      <c r="E304" s="22" t="s">
        <v>56</v>
      </c>
      <c r="F304" s="23">
        <v>44238</v>
      </c>
      <c r="G304" s="24">
        <v>0.85</v>
      </c>
      <c r="H304" s="23">
        <v>44329</v>
      </c>
      <c r="I304" s="24">
        <v>0.85</v>
      </c>
      <c r="J304" s="23">
        <v>44420</v>
      </c>
      <c r="K304" s="24">
        <v>0.85</v>
      </c>
      <c r="L304" s="23">
        <v>44512</v>
      </c>
      <c r="M304" s="77">
        <v>0.85</v>
      </c>
      <c r="N304" s="25"/>
      <c r="O304" s="24"/>
      <c r="P304" s="24"/>
      <c r="Q304" s="24"/>
      <c r="R304" s="24"/>
      <c r="S304" s="24"/>
      <c r="T304" s="26">
        <f t="shared" si="113"/>
        <v>3.4</v>
      </c>
    </row>
    <row r="305" spans="1:21" x14ac:dyDescent="0.25">
      <c r="A305" s="33"/>
      <c r="B305" s="134" t="s">
        <v>223</v>
      </c>
      <c r="C305" s="137" t="s">
        <v>224</v>
      </c>
      <c r="D305" s="135" t="s">
        <v>55</v>
      </c>
      <c r="E305" s="22" t="s">
        <v>56</v>
      </c>
      <c r="F305" s="23">
        <v>44236</v>
      </c>
      <c r="G305" s="24">
        <v>0.87</v>
      </c>
      <c r="H305" s="23">
        <v>44328</v>
      </c>
      <c r="I305" s="24">
        <v>0.87</v>
      </c>
      <c r="J305" s="23">
        <v>44420</v>
      </c>
      <c r="K305" s="24">
        <v>0.87</v>
      </c>
      <c r="L305" s="23">
        <v>44510</v>
      </c>
      <c r="M305" s="77">
        <v>0.88</v>
      </c>
      <c r="N305" s="25"/>
      <c r="O305" s="24"/>
      <c r="P305" s="24"/>
      <c r="Q305" s="24"/>
      <c r="R305" s="24"/>
      <c r="S305" s="24"/>
      <c r="T305" s="26">
        <f t="shared" si="113"/>
        <v>3.4899999999999998</v>
      </c>
      <c r="U305" s="36"/>
    </row>
    <row r="306" spans="1:21" x14ac:dyDescent="0.25">
      <c r="A306" s="33"/>
      <c r="B306" s="134" t="s">
        <v>227</v>
      </c>
      <c r="C306" s="137" t="s">
        <v>228</v>
      </c>
      <c r="D306" s="135" t="s">
        <v>55</v>
      </c>
      <c r="E306" s="22" t="s">
        <v>56</v>
      </c>
      <c r="F306" s="23">
        <v>44518</v>
      </c>
      <c r="G306" s="24">
        <v>0.1</v>
      </c>
      <c r="H306" s="23"/>
      <c r="I306" s="24"/>
      <c r="J306" s="23"/>
      <c r="K306" s="24"/>
      <c r="L306" s="23"/>
      <c r="M306" s="77"/>
      <c r="N306" s="25"/>
      <c r="O306" s="24"/>
      <c r="P306" s="24"/>
      <c r="Q306" s="24"/>
      <c r="R306" s="24"/>
      <c r="S306" s="24"/>
      <c r="T306" s="26">
        <f t="shared" ref="T306:T340" si="140">G306+I306+K306+M306+O306</f>
        <v>0.1</v>
      </c>
      <c r="U306" s="36"/>
    </row>
    <row r="307" spans="1:21" x14ac:dyDescent="0.25">
      <c r="B307" s="134" t="s">
        <v>240</v>
      </c>
      <c r="C307" s="137" t="s">
        <v>241</v>
      </c>
      <c r="D307" s="135" t="s">
        <v>55</v>
      </c>
      <c r="E307" s="22" t="s">
        <v>56</v>
      </c>
      <c r="F307" s="147">
        <v>44260</v>
      </c>
      <c r="G307" s="148">
        <f>0.01*8</f>
        <v>0.08</v>
      </c>
      <c r="H307" s="147">
        <v>44341</v>
      </c>
      <c r="I307" s="148">
        <f>0.01*8</f>
        <v>0.08</v>
      </c>
      <c r="J307" s="23">
        <v>44463</v>
      </c>
      <c r="K307" s="24">
        <v>0.08</v>
      </c>
      <c r="L307" s="23">
        <v>44550</v>
      </c>
      <c r="M307" s="77">
        <v>0.08</v>
      </c>
      <c r="N307" s="25"/>
      <c r="O307" s="24"/>
      <c r="P307" s="24"/>
      <c r="Q307" s="24"/>
      <c r="R307" s="24"/>
      <c r="S307" s="24"/>
      <c r="T307" s="26">
        <f t="shared" si="140"/>
        <v>0.32</v>
      </c>
    </row>
    <row r="308" spans="1:21" x14ac:dyDescent="0.25">
      <c r="B308" s="134" t="s">
        <v>246</v>
      </c>
      <c r="C308" s="137" t="s">
        <v>247</v>
      </c>
      <c r="D308" s="135" t="s">
        <v>55</v>
      </c>
      <c r="E308" s="22" t="s">
        <v>56</v>
      </c>
      <c r="F308" s="23"/>
      <c r="G308" s="24"/>
      <c r="H308" s="23"/>
      <c r="I308" s="24"/>
      <c r="J308" s="23"/>
      <c r="K308" s="24"/>
      <c r="L308" s="23"/>
      <c r="M308" s="77"/>
      <c r="N308" s="25"/>
      <c r="O308" s="24"/>
      <c r="P308" s="24"/>
      <c r="Q308" s="24"/>
      <c r="R308" s="24"/>
      <c r="S308" s="24"/>
      <c r="T308" s="26">
        <f t="shared" si="140"/>
        <v>0</v>
      </c>
    </row>
    <row r="309" spans="1:21" x14ac:dyDescent="0.25">
      <c r="B309" s="134" t="s">
        <v>567</v>
      </c>
      <c r="C309" s="137" t="s">
        <v>594</v>
      </c>
      <c r="D309" s="135" t="s">
        <v>55</v>
      </c>
      <c r="E309" s="22" t="s">
        <v>56</v>
      </c>
      <c r="F309" s="23">
        <v>44267</v>
      </c>
      <c r="G309" s="24">
        <v>0.71</v>
      </c>
      <c r="H309" s="23">
        <v>44361</v>
      </c>
      <c r="I309" s="24">
        <v>0.71</v>
      </c>
      <c r="J309" s="23">
        <v>44453</v>
      </c>
      <c r="K309" s="24">
        <v>0.71</v>
      </c>
      <c r="L309" s="23">
        <v>44544</v>
      </c>
      <c r="M309" s="77">
        <v>0.71</v>
      </c>
      <c r="N309" s="25"/>
      <c r="O309" s="24"/>
      <c r="P309" s="24"/>
      <c r="Q309" s="24"/>
      <c r="R309" s="24"/>
      <c r="S309" s="24"/>
      <c r="T309" s="26">
        <f t="shared" si="140"/>
        <v>2.84</v>
      </c>
    </row>
    <row r="310" spans="1:21" x14ac:dyDescent="0.25">
      <c r="B310" s="134" t="s">
        <v>570</v>
      </c>
      <c r="C310" s="137" t="s">
        <v>597</v>
      </c>
      <c r="D310" s="135" t="s">
        <v>55</v>
      </c>
      <c r="E310" s="22" t="s">
        <v>56</v>
      </c>
      <c r="F310" s="23">
        <v>44256</v>
      </c>
      <c r="G310" s="24">
        <v>1.25</v>
      </c>
      <c r="H310" s="23">
        <v>44344</v>
      </c>
      <c r="I310" s="24">
        <v>1.25</v>
      </c>
      <c r="J310" s="23">
        <v>44439</v>
      </c>
      <c r="K310" s="24">
        <v>2</v>
      </c>
      <c r="L310" s="23">
        <v>44531</v>
      </c>
      <c r="M310" s="77">
        <v>2</v>
      </c>
      <c r="N310" s="25"/>
      <c r="O310" s="24"/>
      <c r="P310" s="24"/>
      <c r="Q310" s="24"/>
      <c r="R310" s="24"/>
      <c r="S310" s="24"/>
      <c r="T310" s="26">
        <f t="shared" si="140"/>
        <v>6.5</v>
      </c>
    </row>
    <row r="311" spans="1:21" x14ac:dyDescent="0.25">
      <c r="B311" s="134" t="s">
        <v>262</v>
      </c>
      <c r="C311" s="137" t="s">
        <v>263</v>
      </c>
      <c r="D311" s="135" t="s">
        <v>55</v>
      </c>
      <c r="E311" s="22" t="s">
        <v>56</v>
      </c>
      <c r="F311" s="23">
        <v>44265</v>
      </c>
      <c r="G311" s="24">
        <v>1.65</v>
      </c>
      <c r="H311" s="23">
        <v>44349</v>
      </c>
      <c r="I311" s="24">
        <v>1.65</v>
      </c>
      <c r="J311" s="23">
        <v>44440</v>
      </c>
      <c r="K311" s="24">
        <v>1.65</v>
      </c>
      <c r="L311" s="23">
        <v>44531</v>
      </c>
      <c r="M311" s="77">
        <v>1.65</v>
      </c>
      <c r="N311" s="25"/>
      <c r="O311" s="24"/>
      <c r="P311" s="24"/>
      <c r="Q311" s="24"/>
      <c r="R311" s="24"/>
      <c r="S311" s="24"/>
      <c r="T311" s="26">
        <f t="shared" si="140"/>
        <v>6.6</v>
      </c>
    </row>
    <row r="312" spans="1:21" x14ac:dyDescent="0.25">
      <c r="B312" s="134" t="s">
        <v>683</v>
      </c>
      <c r="C312" s="137" t="s">
        <v>592</v>
      </c>
      <c r="D312" s="135" t="s">
        <v>55</v>
      </c>
      <c r="E312" s="22" t="s">
        <v>56</v>
      </c>
      <c r="F312" s="23">
        <v>44252</v>
      </c>
      <c r="G312" s="24">
        <v>0.93</v>
      </c>
      <c r="H312" s="23">
        <v>44329</v>
      </c>
      <c r="I312" s="24">
        <v>0.93</v>
      </c>
      <c r="J312" s="23">
        <v>44420</v>
      </c>
      <c r="K312" s="24">
        <v>0.93</v>
      </c>
      <c r="L312" s="23">
        <v>44510</v>
      </c>
      <c r="M312" s="24">
        <v>0.98</v>
      </c>
      <c r="N312" s="25"/>
      <c r="O312" s="24"/>
      <c r="P312" s="24"/>
      <c r="Q312" s="24"/>
      <c r="R312" s="24"/>
      <c r="S312" s="24"/>
      <c r="T312" s="26">
        <f t="shared" si="140"/>
        <v>3.77</v>
      </c>
    </row>
    <row r="313" spans="1:21" x14ac:dyDescent="0.25">
      <c r="B313" s="134" t="s">
        <v>553</v>
      </c>
      <c r="C313" s="137" t="s">
        <v>580</v>
      </c>
      <c r="D313" s="135" t="s">
        <v>55</v>
      </c>
      <c r="E313" s="22" t="s">
        <v>56</v>
      </c>
      <c r="F313" s="147">
        <v>44236</v>
      </c>
      <c r="G313" s="148">
        <f>1.63*0.95516401</f>
        <v>1.5569173362999997</v>
      </c>
      <c r="H313" s="147">
        <v>44323</v>
      </c>
      <c r="I313" s="148">
        <f>1.64*0.95516401</f>
        <v>1.5664689763999999</v>
      </c>
      <c r="J313" s="147">
        <v>44417</v>
      </c>
      <c r="K313" s="148">
        <f>1.64*0.95516401</f>
        <v>1.5664689763999999</v>
      </c>
      <c r="L313" s="23">
        <v>44509</v>
      </c>
      <c r="M313" s="77">
        <v>1.64</v>
      </c>
      <c r="N313" s="25"/>
      <c r="O313" s="24"/>
      <c r="P313" s="24"/>
      <c r="Q313" s="24"/>
      <c r="R313" s="24"/>
      <c r="S313" s="24"/>
      <c r="T313" s="26">
        <f t="shared" si="140"/>
        <v>6.3298552890999993</v>
      </c>
    </row>
    <row r="314" spans="1:21" x14ac:dyDescent="0.25">
      <c r="B314" s="134" t="s">
        <v>612</v>
      </c>
      <c r="C314" s="137" t="s">
        <v>275</v>
      </c>
      <c r="D314" s="135" t="s">
        <v>55</v>
      </c>
      <c r="E314" s="22" t="s">
        <v>56</v>
      </c>
      <c r="F314" s="23">
        <v>44231</v>
      </c>
      <c r="G314" s="24">
        <v>0.34749999999999998</v>
      </c>
      <c r="H314" s="23">
        <v>44322</v>
      </c>
      <c r="I314" s="24">
        <v>0.34749999999999998</v>
      </c>
      <c r="J314" s="23">
        <v>44413</v>
      </c>
      <c r="K314" s="24">
        <v>0.34749999999999998</v>
      </c>
      <c r="L314" s="23">
        <v>44504</v>
      </c>
      <c r="M314" s="77">
        <v>0.34749999999999998</v>
      </c>
      <c r="N314" s="25"/>
      <c r="O314" s="24"/>
      <c r="P314" s="24"/>
      <c r="Q314" s="24"/>
      <c r="R314" s="24"/>
      <c r="S314" s="24"/>
      <c r="T314" s="26">
        <f t="shared" si="140"/>
        <v>1.39</v>
      </c>
    </row>
    <row r="315" spans="1:21" x14ac:dyDescent="0.25">
      <c r="A315" s="33"/>
      <c r="B315" s="134" t="s">
        <v>280</v>
      </c>
      <c r="C315" s="137" t="s">
        <v>281</v>
      </c>
      <c r="D315" s="135" t="s">
        <v>55</v>
      </c>
      <c r="E315" s="22" t="s">
        <v>56</v>
      </c>
      <c r="F315" s="23">
        <v>44249</v>
      </c>
      <c r="G315" s="24">
        <v>1.01</v>
      </c>
      <c r="H315" s="23">
        <v>44340</v>
      </c>
      <c r="I315" s="24">
        <v>1.06</v>
      </c>
      <c r="J315" s="23">
        <v>44431</v>
      </c>
      <c r="K315" s="24">
        <v>1.06</v>
      </c>
      <c r="L315" s="23">
        <v>44522</v>
      </c>
      <c r="M315" s="77">
        <v>1.06</v>
      </c>
      <c r="N315" s="25"/>
      <c r="O315" s="24"/>
      <c r="P315" s="24"/>
      <c r="Q315" s="24"/>
      <c r="R315" s="24"/>
      <c r="S315" s="24"/>
      <c r="T315" s="26">
        <f t="shared" si="140"/>
        <v>4.1900000000000004</v>
      </c>
      <c r="U315" s="36"/>
    </row>
    <row r="316" spans="1:21" x14ac:dyDescent="0.25">
      <c r="B316" s="134" t="s">
        <v>282</v>
      </c>
      <c r="C316" s="137" t="s">
        <v>283</v>
      </c>
      <c r="D316" s="135" t="s">
        <v>55</v>
      </c>
      <c r="E316" s="22" t="s">
        <v>56</v>
      </c>
      <c r="F316" s="23">
        <v>44291</v>
      </c>
      <c r="G316" s="24">
        <v>0.9</v>
      </c>
      <c r="H316" s="23">
        <v>44379</v>
      </c>
      <c r="I316" s="24">
        <v>0.9</v>
      </c>
      <c r="J316" s="23">
        <v>44474</v>
      </c>
      <c r="K316" s="24">
        <v>1</v>
      </c>
      <c r="L316" s="23">
        <v>44566</v>
      </c>
      <c r="M316" s="77">
        <v>1</v>
      </c>
      <c r="N316" s="25"/>
      <c r="O316" s="24"/>
      <c r="P316" s="24"/>
      <c r="Q316" s="24"/>
      <c r="R316" s="24"/>
      <c r="S316" s="24"/>
      <c r="T316" s="26">
        <f t="shared" si="140"/>
        <v>3.8</v>
      </c>
    </row>
    <row r="317" spans="1:21" x14ac:dyDescent="0.25">
      <c r="B317" s="134" t="s">
        <v>562</v>
      </c>
      <c r="C317" s="137" t="s">
        <v>589</v>
      </c>
      <c r="D317" s="135" t="s">
        <v>55</v>
      </c>
      <c r="E317" s="22" t="s">
        <v>56</v>
      </c>
      <c r="F317" s="23">
        <v>44294</v>
      </c>
      <c r="G317" s="24">
        <v>0.44</v>
      </c>
      <c r="H317" s="23">
        <v>44385</v>
      </c>
      <c r="I317" s="24">
        <v>0.44</v>
      </c>
      <c r="J317" s="23">
        <v>44476</v>
      </c>
      <c r="K317" s="24">
        <v>0.44</v>
      </c>
      <c r="L317" s="23">
        <v>44567</v>
      </c>
      <c r="M317" s="77">
        <v>0.49</v>
      </c>
      <c r="N317" s="25"/>
      <c r="O317" s="24"/>
      <c r="P317" s="24"/>
      <c r="Q317" s="24"/>
      <c r="R317" s="24"/>
      <c r="S317" s="24"/>
      <c r="T317" s="26">
        <f t="shared" si="140"/>
        <v>1.81</v>
      </c>
    </row>
    <row r="318" spans="1:21" x14ac:dyDescent="0.25">
      <c r="B318" s="134" t="s">
        <v>561</v>
      </c>
      <c r="C318" s="137" t="s">
        <v>588</v>
      </c>
      <c r="D318" s="135" t="s">
        <v>55</v>
      </c>
      <c r="E318" s="22" t="s">
        <v>56</v>
      </c>
      <c r="F318" s="23">
        <v>44253</v>
      </c>
      <c r="G318" s="24">
        <v>1.29</v>
      </c>
      <c r="H318" s="23">
        <v>44344</v>
      </c>
      <c r="I318" s="24">
        <v>1.29</v>
      </c>
      <c r="J318" s="23">
        <v>44439</v>
      </c>
      <c r="K318" s="24">
        <v>1.29</v>
      </c>
      <c r="L318" s="23">
        <v>44530</v>
      </c>
      <c r="M318" s="77">
        <v>1.38</v>
      </c>
      <c r="N318" s="25"/>
      <c r="O318" s="24"/>
      <c r="P318" s="24"/>
      <c r="Q318" s="24"/>
      <c r="R318" s="24"/>
      <c r="S318" s="24"/>
      <c r="T318" s="26">
        <f t="shared" si="140"/>
        <v>5.25</v>
      </c>
    </row>
    <row r="319" spans="1:21" x14ac:dyDescent="0.25">
      <c r="B319" s="134" t="s">
        <v>558</v>
      </c>
      <c r="C319" s="137" t="s">
        <v>585</v>
      </c>
      <c r="D319" s="135" t="s">
        <v>55</v>
      </c>
      <c r="E319" s="22" t="s">
        <v>56</v>
      </c>
      <c r="F319" s="23">
        <v>44280</v>
      </c>
      <c r="G319" s="24">
        <v>0.57999999999999996</v>
      </c>
      <c r="H319" s="23">
        <v>44371</v>
      </c>
      <c r="I319" s="24">
        <v>0.63</v>
      </c>
      <c r="J319" s="23">
        <v>44462</v>
      </c>
      <c r="K319" s="24">
        <v>0.63</v>
      </c>
      <c r="L319" s="23">
        <v>44551</v>
      </c>
      <c r="M319" s="24">
        <v>0.63</v>
      </c>
      <c r="N319" s="25"/>
      <c r="O319" s="24"/>
      <c r="P319" s="24"/>
      <c r="Q319" s="24"/>
      <c r="R319" s="24"/>
      <c r="S319" s="24"/>
      <c r="T319" s="26">
        <f t="shared" si="140"/>
        <v>2.4699999999999998</v>
      </c>
    </row>
    <row r="320" spans="1:21" x14ac:dyDescent="0.25">
      <c r="B320" s="134" t="s">
        <v>324</v>
      </c>
      <c r="C320" s="137" t="s">
        <v>325</v>
      </c>
      <c r="D320" s="135" t="s">
        <v>55</v>
      </c>
      <c r="E320" s="22" t="s">
        <v>56</v>
      </c>
      <c r="F320" s="15" t="s">
        <v>775</v>
      </c>
      <c r="G320" s="24"/>
      <c r="H320" s="15"/>
      <c r="I320" s="24"/>
      <c r="J320" s="23"/>
      <c r="K320" s="24"/>
      <c r="L320" s="23"/>
      <c r="M320" s="77"/>
      <c r="N320" s="25"/>
      <c r="O320" s="24"/>
      <c r="P320" s="24"/>
      <c r="Q320" s="24"/>
      <c r="R320" s="24"/>
      <c r="S320" s="24"/>
      <c r="T320" s="26">
        <f t="shared" si="140"/>
        <v>0</v>
      </c>
    </row>
    <row r="321" spans="2:20" x14ac:dyDescent="0.25">
      <c r="B321" s="134" t="s">
        <v>331</v>
      </c>
      <c r="C321" s="137" t="s">
        <v>332</v>
      </c>
      <c r="D321" s="135" t="s">
        <v>55</v>
      </c>
      <c r="E321" s="22" t="s">
        <v>56</v>
      </c>
      <c r="F321" s="23">
        <v>44244</v>
      </c>
      <c r="G321" s="24">
        <v>0.56000000000000005</v>
      </c>
      <c r="H321" s="23">
        <v>44335</v>
      </c>
      <c r="I321" s="24">
        <v>0.56000000000000005</v>
      </c>
      <c r="J321" s="23">
        <v>44426</v>
      </c>
      <c r="K321" s="24">
        <v>0.56000000000000005</v>
      </c>
      <c r="L321" s="23">
        <v>44517</v>
      </c>
      <c r="M321" s="77">
        <v>0.62</v>
      </c>
      <c r="N321" s="25"/>
      <c r="O321" s="24"/>
      <c r="P321" s="24"/>
      <c r="Q321" s="24"/>
      <c r="R321" s="24"/>
      <c r="S321" s="24"/>
      <c r="T321" s="26">
        <f t="shared" si="140"/>
        <v>2.3000000000000003</v>
      </c>
    </row>
    <row r="322" spans="2:20" x14ac:dyDescent="0.25">
      <c r="B322" s="134" t="s">
        <v>555</v>
      </c>
      <c r="C322" s="137" t="s">
        <v>582</v>
      </c>
      <c r="D322" s="138" t="s">
        <v>55</v>
      </c>
      <c r="E322" s="68" t="s">
        <v>56</v>
      </c>
      <c r="F322" s="23">
        <v>44293</v>
      </c>
      <c r="G322" s="24">
        <v>0.32</v>
      </c>
      <c r="H322" s="23">
        <v>44391</v>
      </c>
      <c r="I322" s="24">
        <v>0.32</v>
      </c>
      <c r="J322" s="23">
        <v>44477</v>
      </c>
      <c r="K322" s="24">
        <v>0.32</v>
      </c>
      <c r="L322" s="23">
        <v>44567</v>
      </c>
      <c r="M322" s="77">
        <v>0.32</v>
      </c>
      <c r="N322" s="25"/>
      <c r="O322" s="24"/>
      <c r="P322" s="24"/>
      <c r="Q322" s="24"/>
      <c r="R322" s="24"/>
      <c r="S322" s="24"/>
      <c r="T322" s="26">
        <f t="shared" si="140"/>
        <v>1.28</v>
      </c>
    </row>
    <row r="323" spans="2:20" x14ac:dyDescent="0.25">
      <c r="B323" s="134" t="s">
        <v>551</v>
      </c>
      <c r="C323" s="137" t="s">
        <v>578</v>
      </c>
      <c r="D323" s="135" t="s">
        <v>55</v>
      </c>
      <c r="E323" s="22" t="s">
        <v>56</v>
      </c>
      <c r="F323" s="23">
        <v>44259</v>
      </c>
      <c r="G323" s="24">
        <v>1.0225</v>
      </c>
      <c r="H323" s="23">
        <v>44350</v>
      </c>
      <c r="I323" s="24">
        <v>1.075</v>
      </c>
      <c r="J323" s="23">
        <v>44441</v>
      </c>
      <c r="K323" s="24">
        <v>1.075</v>
      </c>
      <c r="L323" s="23">
        <v>44532</v>
      </c>
      <c r="M323" s="24">
        <v>1.075</v>
      </c>
      <c r="N323" s="25"/>
      <c r="O323" s="24"/>
      <c r="P323" s="24"/>
      <c r="Q323" s="24"/>
      <c r="R323" s="24"/>
      <c r="S323" s="24"/>
      <c r="T323" s="26">
        <f t="shared" si="140"/>
        <v>4.2475000000000005</v>
      </c>
    </row>
    <row r="324" spans="2:20" x14ac:dyDescent="0.25">
      <c r="B324" s="134" t="s">
        <v>363</v>
      </c>
      <c r="C324" s="137" t="s">
        <v>364</v>
      </c>
      <c r="D324" s="135" t="s">
        <v>55</v>
      </c>
      <c r="E324" s="22" t="s">
        <v>56</v>
      </c>
      <c r="F324" s="23">
        <v>44224</v>
      </c>
      <c r="G324" s="24">
        <v>0.39</v>
      </c>
      <c r="H324" s="23">
        <v>44322</v>
      </c>
      <c r="I324" s="24">
        <v>0.39</v>
      </c>
      <c r="J324" s="23">
        <v>44406</v>
      </c>
      <c r="K324" s="24">
        <v>0.39</v>
      </c>
      <c r="L324" s="23">
        <v>44504</v>
      </c>
      <c r="M324" s="24">
        <v>0.39</v>
      </c>
      <c r="N324" s="25"/>
      <c r="O324" s="24"/>
      <c r="P324" s="24"/>
      <c r="Q324" s="24"/>
      <c r="R324" s="24"/>
      <c r="S324" s="24"/>
      <c r="T324" s="26">
        <f t="shared" si="140"/>
        <v>1.56</v>
      </c>
    </row>
    <row r="325" spans="2:20" x14ac:dyDescent="0.25">
      <c r="B325" s="134" t="s">
        <v>606</v>
      </c>
      <c r="C325" s="137" t="s">
        <v>365</v>
      </c>
      <c r="D325" s="135" t="s">
        <v>55</v>
      </c>
      <c r="E325" s="22" t="s">
        <v>56</v>
      </c>
      <c r="F325" s="23">
        <v>44274</v>
      </c>
      <c r="G325" s="24">
        <v>1.2</v>
      </c>
      <c r="H325" s="23">
        <v>44371</v>
      </c>
      <c r="I325" s="24">
        <v>1.2</v>
      </c>
      <c r="J325" s="23">
        <v>44467</v>
      </c>
      <c r="K325" s="24">
        <v>1.25</v>
      </c>
      <c r="L325" s="23">
        <v>44552</v>
      </c>
      <c r="M325" s="24">
        <v>1.25</v>
      </c>
      <c r="N325" s="25"/>
      <c r="O325" s="24"/>
      <c r="P325" s="24"/>
      <c r="Q325" s="24"/>
      <c r="R325" s="24"/>
      <c r="S325" s="24"/>
      <c r="T325" s="26">
        <f t="shared" si="140"/>
        <v>4.9000000000000004</v>
      </c>
    </row>
    <row r="326" spans="2:20" x14ac:dyDescent="0.25">
      <c r="B326" s="134" t="s">
        <v>355</v>
      </c>
      <c r="C326" s="137" t="s">
        <v>356</v>
      </c>
      <c r="D326" s="135" t="s">
        <v>55</v>
      </c>
      <c r="E326" s="22" t="s">
        <v>56</v>
      </c>
      <c r="F326" s="23">
        <v>44217</v>
      </c>
      <c r="G326" s="24">
        <v>0.79069999999999996</v>
      </c>
      <c r="H326" s="23">
        <v>44308</v>
      </c>
      <c r="I326" s="24">
        <v>0.86980000000000002</v>
      </c>
      <c r="J326" s="23">
        <v>44399</v>
      </c>
      <c r="K326" s="24">
        <v>0.86980000000000002</v>
      </c>
      <c r="L326" s="23">
        <v>44490</v>
      </c>
      <c r="M326" s="24">
        <v>0.86980000000000002</v>
      </c>
      <c r="N326" s="25">
        <v>44581</v>
      </c>
      <c r="O326" s="24">
        <v>0.86980000000000002</v>
      </c>
      <c r="P326" s="24"/>
      <c r="Q326" s="24"/>
      <c r="R326" s="24"/>
      <c r="S326" s="24"/>
      <c r="T326" s="26">
        <f t="shared" si="140"/>
        <v>4.2698999999999998</v>
      </c>
    </row>
    <row r="327" spans="2:20" x14ac:dyDescent="0.25">
      <c r="B327" s="134" t="s">
        <v>572</v>
      </c>
      <c r="C327" s="137" t="s">
        <v>599</v>
      </c>
      <c r="D327" s="135" t="s">
        <v>55</v>
      </c>
      <c r="E327" s="22" t="s">
        <v>56</v>
      </c>
      <c r="F327" s="23">
        <v>44258</v>
      </c>
      <c r="G327" s="24">
        <v>0.65</v>
      </c>
      <c r="H327" s="139">
        <v>44349</v>
      </c>
      <c r="I327" s="140">
        <v>0.68</v>
      </c>
      <c r="J327" s="139">
        <v>44440</v>
      </c>
      <c r="K327" s="140">
        <v>0.68</v>
      </c>
      <c r="L327" s="139">
        <v>44531</v>
      </c>
      <c r="M327" s="140">
        <v>0.68</v>
      </c>
      <c r="N327" s="141"/>
      <c r="O327" s="140"/>
      <c r="P327" s="140"/>
      <c r="Q327" s="140"/>
      <c r="R327" s="140"/>
      <c r="S327" s="140"/>
      <c r="T327" s="26">
        <f t="shared" si="140"/>
        <v>2.6900000000000004</v>
      </c>
    </row>
    <row r="328" spans="2:20" x14ac:dyDescent="0.25">
      <c r="B328" s="134" t="s">
        <v>559</v>
      </c>
      <c r="C328" s="137" t="s">
        <v>586</v>
      </c>
      <c r="D328" s="135" t="s">
        <v>55</v>
      </c>
      <c r="E328" s="22" t="s">
        <v>56</v>
      </c>
      <c r="F328" s="23">
        <v>44243</v>
      </c>
      <c r="G328" s="24">
        <v>0.125</v>
      </c>
      <c r="H328" s="23">
        <v>44348</v>
      </c>
      <c r="I328" s="24">
        <v>0.125</v>
      </c>
      <c r="J328" s="23">
        <v>44439</v>
      </c>
      <c r="K328" s="24">
        <v>0.125</v>
      </c>
      <c r="L328" s="23">
        <v>44530</v>
      </c>
      <c r="M328" s="77">
        <v>0.125</v>
      </c>
      <c r="N328" s="25"/>
      <c r="O328" s="24"/>
      <c r="P328" s="24"/>
      <c r="Q328" s="24"/>
      <c r="R328" s="24"/>
      <c r="S328" s="24"/>
      <c r="T328" s="26">
        <f t="shared" si="140"/>
        <v>0.5</v>
      </c>
    </row>
    <row r="329" spans="2:20" x14ac:dyDescent="0.25">
      <c r="B329" s="134" t="s">
        <v>443</v>
      </c>
      <c r="C329" s="137" t="s">
        <v>444</v>
      </c>
      <c r="D329" s="135" t="s">
        <v>55</v>
      </c>
      <c r="E329" s="22" t="s">
        <v>56</v>
      </c>
      <c r="F329" s="23">
        <v>44239</v>
      </c>
      <c r="G329" s="24">
        <v>0.64</v>
      </c>
      <c r="H329" s="23">
        <v>44330</v>
      </c>
      <c r="I329" s="24">
        <v>0.66</v>
      </c>
      <c r="J329" s="23">
        <v>44421</v>
      </c>
      <c r="K329" s="24">
        <v>0.66</v>
      </c>
      <c r="L329" s="23">
        <v>44512</v>
      </c>
      <c r="M329" s="77">
        <v>0.66</v>
      </c>
      <c r="N329" s="25"/>
      <c r="O329" s="24"/>
      <c r="P329" s="24"/>
      <c r="Q329" s="24"/>
      <c r="R329" s="24"/>
      <c r="S329" s="24"/>
      <c r="T329" s="26">
        <f t="shared" si="140"/>
        <v>2.62</v>
      </c>
    </row>
    <row r="330" spans="2:20" x14ac:dyDescent="0.25">
      <c r="B330" s="134" t="s">
        <v>571</v>
      </c>
      <c r="C330" s="137" t="s">
        <v>598</v>
      </c>
      <c r="D330" s="135" t="s">
        <v>55</v>
      </c>
      <c r="E330" s="22" t="s">
        <v>56</v>
      </c>
      <c r="F330" s="23">
        <v>44244</v>
      </c>
      <c r="G330" s="24">
        <v>0.45</v>
      </c>
      <c r="H330" s="23">
        <v>44328</v>
      </c>
      <c r="I330" s="24">
        <v>0.45</v>
      </c>
      <c r="J330" s="23">
        <v>44419</v>
      </c>
      <c r="K330" s="24">
        <v>0.45</v>
      </c>
      <c r="L330" s="23">
        <v>44510</v>
      </c>
      <c r="M330" s="77">
        <v>0.49</v>
      </c>
      <c r="N330" s="25"/>
      <c r="O330" s="24"/>
      <c r="P330" s="24"/>
      <c r="Q330" s="24"/>
      <c r="R330" s="24"/>
      <c r="S330" s="24"/>
      <c r="T330" s="26">
        <f t="shared" si="140"/>
        <v>1.84</v>
      </c>
    </row>
    <row r="331" spans="2:20" x14ac:dyDescent="0.25">
      <c r="B331" s="134" t="s">
        <v>576</v>
      </c>
      <c r="C331" s="137" t="s">
        <v>603</v>
      </c>
      <c r="D331" s="135" t="s">
        <v>55</v>
      </c>
      <c r="E331" s="22" t="s">
        <v>56</v>
      </c>
      <c r="F331" s="23">
        <v>44225</v>
      </c>
      <c r="G331" s="24">
        <v>1.02</v>
      </c>
      <c r="H331" s="23">
        <v>44316</v>
      </c>
      <c r="I331" s="24">
        <v>1.02</v>
      </c>
      <c r="J331" s="23">
        <v>44400</v>
      </c>
      <c r="K331" s="24">
        <v>1.02</v>
      </c>
      <c r="L331" s="23">
        <v>44498</v>
      </c>
      <c r="M331" s="77">
        <v>1.1499999999999999</v>
      </c>
      <c r="N331" s="25"/>
      <c r="O331" s="24"/>
      <c r="P331" s="24"/>
      <c r="Q331" s="24"/>
      <c r="R331" s="24"/>
      <c r="S331" s="24"/>
      <c r="T331" s="26">
        <f t="shared" si="140"/>
        <v>4.21</v>
      </c>
    </row>
    <row r="332" spans="2:20" x14ac:dyDescent="0.25">
      <c r="B332" s="134" t="s">
        <v>569</v>
      </c>
      <c r="C332" s="137" t="s">
        <v>596</v>
      </c>
      <c r="D332" s="135" t="s">
        <v>55</v>
      </c>
      <c r="E332" s="22" t="s">
        <v>56</v>
      </c>
      <c r="F332" s="23">
        <v>44252</v>
      </c>
      <c r="G332" s="24">
        <v>0.97</v>
      </c>
      <c r="H332" s="23">
        <v>44342</v>
      </c>
      <c r="I332" s="24">
        <v>1.07</v>
      </c>
      <c r="J332" s="23">
        <v>44438</v>
      </c>
      <c r="K332" s="24">
        <v>1.07</v>
      </c>
      <c r="L332" s="23">
        <v>44547</v>
      </c>
      <c r="M332" s="77">
        <v>1.18</v>
      </c>
      <c r="N332" s="25"/>
      <c r="O332" s="24"/>
      <c r="P332" s="24"/>
      <c r="Q332" s="24"/>
      <c r="R332" s="24"/>
      <c r="S332" s="24"/>
      <c r="T332" s="26">
        <f t="shared" si="140"/>
        <v>4.29</v>
      </c>
    </row>
    <row r="333" spans="2:20" x14ac:dyDescent="0.25">
      <c r="B333" s="134" t="s">
        <v>697</v>
      </c>
      <c r="C333" s="137" t="s">
        <v>600</v>
      </c>
      <c r="D333" s="135" t="s">
        <v>55</v>
      </c>
      <c r="E333" s="22" t="s">
        <v>56</v>
      </c>
      <c r="F333" s="23">
        <v>44252</v>
      </c>
      <c r="G333" s="24">
        <v>0.47499999999999998</v>
      </c>
      <c r="H333" s="23">
        <v>44336</v>
      </c>
      <c r="I333" s="24">
        <v>0.51</v>
      </c>
      <c r="J333" s="23">
        <v>44427</v>
      </c>
      <c r="K333" s="24">
        <v>0.51</v>
      </c>
      <c r="L333" s="23">
        <v>44518</v>
      </c>
      <c r="M333" s="77">
        <v>0.51</v>
      </c>
      <c r="N333" s="25"/>
      <c r="O333" s="24"/>
      <c r="P333" s="24"/>
      <c r="Q333" s="24"/>
      <c r="R333" s="24"/>
      <c r="S333" s="24"/>
      <c r="T333" s="26">
        <f t="shared" si="140"/>
        <v>2.0049999999999999</v>
      </c>
    </row>
    <row r="334" spans="2:20" x14ac:dyDescent="0.25">
      <c r="B334" s="134" t="s">
        <v>552</v>
      </c>
      <c r="C334" s="137" t="s">
        <v>579</v>
      </c>
      <c r="D334" s="135" t="s">
        <v>55</v>
      </c>
      <c r="E334" s="22" t="s">
        <v>56</v>
      </c>
      <c r="F334" s="23">
        <v>44267</v>
      </c>
      <c r="G334" s="24">
        <v>1.25</v>
      </c>
      <c r="H334" s="23">
        <v>44365</v>
      </c>
      <c r="I334" s="24">
        <v>1.45</v>
      </c>
      <c r="J334" s="23">
        <v>44449</v>
      </c>
      <c r="K334" s="24">
        <v>1.45</v>
      </c>
      <c r="L334" s="23">
        <v>44533</v>
      </c>
      <c r="M334" s="77">
        <v>1.45</v>
      </c>
      <c r="N334" s="25"/>
      <c r="O334" s="24"/>
      <c r="P334" s="24"/>
      <c r="Q334" s="24"/>
      <c r="R334" s="24"/>
      <c r="S334" s="24"/>
      <c r="T334" s="26">
        <f t="shared" si="140"/>
        <v>5.6000000000000005</v>
      </c>
    </row>
    <row r="335" spans="2:20" x14ac:dyDescent="0.25">
      <c r="B335" s="134" t="s">
        <v>574</v>
      </c>
      <c r="C335" s="137" t="s">
        <v>601</v>
      </c>
      <c r="D335" s="135" t="s">
        <v>55</v>
      </c>
      <c r="E335" s="22" t="s">
        <v>56</v>
      </c>
      <c r="F335" s="23">
        <v>44285</v>
      </c>
      <c r="G335" s="24">
        <v>0.42</v>
      </c>
      <c r="H335" s="23">
        <v>44376</v>
      </c>
      <c r="I335" s="24">
        <v>0.42</v>
      </c>
      <c r="J335" s="23">
        <v>44468</v>
      </c>
      <c r="K335" s="24">
        <v>0.46</v>
      </c>
      <c r="L335" s="23">
        <v>44560</v>
      </c>
      <c r="M335" s="24">
        <v>0.46</v>
      </c>
      <c r="N335" s="25"/>
      <c r="O335" s="24"/>
      <c r="P335" s="24"/>
      <c r="Q335" s="24"/>
      <c r="R335" s="24"/>
      <c r="S335" s="24"/>
      <c r="T335" s="26">
        <f t="shared" si="140"/>
        <v>1.76</v>
      </c>
    </row>
    <row r="336" spans="2:20" x14ac:dyDescent="0.25">
      <c r="B336" s="134" t="s">
        <v>518</v>
      </c>
      <c r="C336" s="137" t="s">
        <v>519</v>
      </c>
      <c r="D336" s="135" t="s">
        <v>55</v>
      </c>
      <c r="E336" s="22" t="s">
        <v>56</v>
      </c>
      <c r="F336" s="23">
        <v>44294</v>
      </c>
      <c r="G336" s="24">
        <v>0.62749999999999995</v>
      </c>
      <c r="H336" s="23">
        <v>44385</v>
      </c>
      <c r="I336" s="24">
        <v>0.62749999999999995</v>
      </c>
      <c r="J336" s="23">
        <v>44476</v>
      </c>
      <c r="K336" s="24">
        <v>0.64</v>
      </c>
      <c r="L336" s="23">
        <v>44568</v>
      </c>
      <c r="M336" s="77">
        <v>0.64</v>
      </c>
      <c r="N336" s="25"/>
      <c r="O336" s="24"/>
      <c r="P336" s="24"/>
      <c r="Q336" s="24"/>
      <c r="R336" s="24"/>
      <c r="S336" s="24"/>
      <c r="T336" s="26">
        <f t="shared" si="140"/>
        <v>2.5350000000000001</v>
      </c>
    </row>
    <row r="337" spans="2:20" x14ac:dyDescent="0.25">
      <c r="B337" s="134" t="s">
        <v>522</v>
      </c>
      <c r="C337" s="137" t="s">
        <v>523</v>
      </c>
      <c r="D337" s="135" t="s">
        <v>55</v>
      </c>
      <c r="E337" s="22" t="s">
        <v>56</v>
      </c>
      <c r="F337" s="23">
        <v>44238</v>
      </c>
      <c r="G337" s="24">
        <v>0.32</v>
      </c>
      <c r="H337" s="23">
        <v>44329</v>
      </c>
      <c r="I337" s="24">
        <v>0.32</v>
      </c>
      <c r="J337" s="23">
        <v>44420</v>
      </c>
      <c r="K337" s="24">
        <v>0.32</v>
      </c>
      <c r="L337" s="23">
        <v>44510</v>
      </c>
      <c r="M337" s="77">
        <v>0.375</v>
      </c>
      <c r="N337" s="25"/>
      <c r="O337" s="24"/>
      <c r="P337" s="24"/>
      <c r="Q337" s="24"/>
      <c r="R337" s="24"/>
      <c r="S337" s="24"/>
      <c r="T337" s="26">
        <f t="shared" si="140"/>
        <v>1.335</v>
      </c>
    </row>
    <row r="338" spans="2:20" x14ac:dyDescent="0.25">
      <c r="B338" s="134" t="s">
        <v>631</v>
      </c>
      <c r="C338" s="137" t="s">
        <v>587</v>
      </c>
      <c r="D338" s="135" t="s">
        <v>55</v>
      </c>
      <c r="E338" s="22" t="s">
        <v>56</v>
      </c>
      <c r="F338" s="23">
        <v>44273</v>
      </c>
      <c r="G338" s="24">
        <v>0.55000000000000004</v>
      </c>
      <c r="H338" s="23">
        <v>44322</v>
      </c>
      <c r="I338" s="24">
        <v>0.55000000000000004</v>
      </c>
      <c r="J338" s="23">
        <v>44420</v>
      </c>
      <c r="K338" s="24">
        <v>0.55000000000000004</v>
      </c>
      <c r="L338" s="23">
        <v>44539</v>
      </c>
      <c r="M338" s="77">
        <v>0.55000000000000004</v>
      </c>
      <c r="N338" s="25"/>
      <c r="O338" s="24"/>
      <c r="P338" s="24"/>
      <c r="Q338" s="24"/>
      <c r="R338" s="24"/>
      <c r="S338" s="24"/>
      <c r="T338" s="26">
        <f t="shared" si="140"/>
        <v>2.2000000000000002</v>
      </c>
    </row>
    <row r="339" spans="2:20" x14ac:dyDescent="0.25">
      <c r="B339" s="134" t="s">
        <v>536</v>
      </c>
      <c r="C339" s="137" t="s">
        <v>537</v>
      </c>
      <c r="D339" s="135" t="s">
        <v>55</v>
      </c>
      <c r="E339" s="22" t="s">
        <v>56</v>
      </c>
      <c r="F339" s="23"/>
      <c r="G339" s="24"/>
      <c r="H339" s="23"/>
      <c r="I339" s="24"/>
      <c r="J339" s="23"/>
      <c r="K339" s="24"/>
      <c r="L339" s="23"/>
      <c r="M339" s="77"/>
      <c r="N339" s="25"/>
      <c r="O339" s="24"/>
      <c r="P339" s="24"/>
      <c r="Q339" s="24"/>
      <c r="R339" s="24"/>
      <c r="S339" s="24"/>
      <c r="T339" s="26">
        <f t="shared" si="140"/>
        <v>0</v>
      </c>
    </row>
    <row r="340" spans="2:20" x14ac:dyDescent="0.25">
      <c r="B340" s="134" t="s">
        <v>538</v>
      </c>
      <c r="C340" s="137" t="s">
        <v>539</v>
      </c>
      <c r="D340" s="135" t="s">
        <v>55</v>
      </c>
      <c r="E340" s="22" t="s">
        <v>56</v>
      </c>
      <c r="F340" s="23">
        <v>44231</v>
      </c>
      <c r="G340" s="24">
        <v>0.1</v>
      </c>
      <c r="H340" s="23">
        <v>44322</v>
      </c>
      <c r="I340" s="24">
        <v>0.1</v>
      </c>
      <c r="J340" s="23">
        <v>44413</v>
      </c>
      <c r="K340" s="24">
        <v>0.2</v>
      </c>
      <c r="L340" s="23">
        <v>44504</v>
      </c>
      <c r="M340" s="77">
        <v>0.2</v>
      </c>
      <c r="N340" s="25"/>
      <c r="O340" s="24"/>
      <c r="P340" s="24"/>
      <c r="Q340" s="24"/>
      <c r="R340" s="24"/>
      <c r="S340" s="24"/>
      <c r="T340" s="26">
        <f t="shared" si="140"/>
        <v>0.60000000000000009</v>
      </c>
    </row>
  </sheetData>
  <sheetProtection algorithmName="SHA-512" hashValue="ogqZXY2tFj5qJTzKtbC11vQQOeyyK1b+L9+Pq7+qn02xizpAAV2I7sjSmnb595oQx73rPLk73IE24WxwkOhbVA==" saltValue="AaDA92t1vLMi7pPRQfkTIQ==" spinCount="100000" sheet="1" objects="1" scenarios="1"/>
  <mergeCells count="4">
    <mergeCell ref="H9:I9"/>
    <mergeCell ref="J9:K9"/>
    <mergeCell ref="L9:M9"/>
    <mergeCell ref="F11:T11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"/>
  <dimension ref="A1:U312"/>
  <sheetViews>
    <sheetView showGridLines="0" zoomScale="85" zoomScaleNormal="85" workbookViewId="0">
      <pane xSplit="1" ySplit="12" topLeftCell="B13" activePane="bottomRight" state="frozen"/>
      <selection pane="topRight" activeCell="B1" sqref="B1"/>
      <selection pane="bottomLeft" activeCell="A13" sqref="A13"/>
      <selection pane="bottomRight" activeCell="Q259" sqref="Q259"/>
    </sheetView>
  </sheetViews>
  <sheetFormatPr defaultColWidth="0" defaultRowHeight="15" x14ac:dyDescent="0.25"/>
  <cols>
    <col min="1" max="1" width="3" customWidth="1"/>
    <col min="2" max="2" width="46.5703125" bestFit="1" customWidth="1"/>
    <col min="3" max="3" width="13.7109375" bestFit="1" customWidth="1"/>
    <col min="4" max="4" width="15.5703125" bestFit="1" customWidth="1"/>
    <col min="5" max="5" width="9.28515625" customWidth="1"/>
    <col min="6" max="6" width="9.7109375" customWidth="1"/>
    <col min="7" max="7" width="9.28515625" customWidth="1"/>
    <col min="8" max="8" width="9.7109375" customWidth="1"/>
    <col min="9" max="9" width="9.28515625" customWidth="1"/>
    <col min="10" max="10" width="9.5703125" bestFit="1" customWidth="1"/>
    <col min="11" max="11" width="9.28515625" customWidth="1"/>
    <col min="12" max="12" width="10" customWidth="1"/>
    <col min="13" max="13" width="9.28515625" customWidth="1"/>
    <col min="14" max="14" width="10" customWidth="1"/>
    <col min="15" max="15" width="9.28515625" customWidth="1"/>
    <col min="16" max="16" width="0.5703125" customWidth="1"/>
    <col min="17" max="20" width="10.7109375" customWidth="1"/>
    <col min="21" max="21" width="3" customWidth="1"/>
    <col min="22" max="16384" width="9.28515625" hidden="1"/>
  </cols>
  <sheetData>
    <row r="1" spans="2:20" x14ac:dyDescent="0.25"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2:20" x14ac:dyDescent="0.25"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2:20" x14ac:dyDescent="0.25"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2:20" x14ac:dyDescent="0.25"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</row>
    <row r="5" spans="2:20" x14ac:dyDescent="0.25"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2:20" x14ac:dyDescent="0.25"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2:20" x14ac:dyDescent="0.25"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2:20" ht="49.5" customHeight="1" x14ac:dyDescent="0.25"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2:20" ht="15" customHeight="1" x14ac:dyDescent="0.25">
      <c r="H9" s="178"/>
      <c r="I9" s="178"/>
      <c r="J9" s="179"/>
      <c r="K9" s="179"/>
      <c r="L9" s="180" t="s">
        <v>0</v>
      </c>
      <c r="M9" s="180"/>
      <c r="N9" s="1"/>
      <c r="O9" s="2" t="s">
        <v>1</v>
      </c>
      <c r="P9" s="2"/>
      <c r="Q9" s="2"/>
      <c r="R9" s="2"/>
      <c r="S9" s="2"/>
      <c r="T9" s="3">
        <v>44211</v>
      </c>
    </row>
    <row r="10" spans="2:20" ht="3.75" customHeight="1" x14ac:dyDescent="0.25">
      <c r="F10" s="1"/>
      <c r="G10" s="1"/>
      <c r="H10" s="1"/>
      <c r="I10" s="1"/>
      <c r="J10" s="1"/>
      <c r="K10" s="1"/>
      <c r="L10" s="1"/>
      <c r="M10" s="1"/>
      <c r="N10" s="1"/>
      <c r="O10" s="2"/>
      <c r="P10" s="2"/>
      <c r="Q10" s="2"/>
      <c r="R10" s="2"/>
      <c r="S10" s="2"/>
      <c r="T10" s="3"/>
    </row>
    <row r="11" spans="2:20" ht="50.25" customHeight="1" x14ac:dyDescent="0.25">
      <c r="B11" s="4" t="s">
        <v>2</v>
      </c>
      <c r="C11" s="5"/>
      <c r="D11" s="5"/>
      <c r="E11" s="5"/>
      <c r="F11" s="181" t="s">
        <v>731</v>
      </c>
      <c r="G11" s="181"/>
      <c r="H11" s="181"/>
      <c r="I11" s="181"/>
      <c r="J11" s="181"/>
      <c r="K11" s="181"/>
      <c r="L11" s="181"/>
      <c r="M11" s="181"/>
      <c r="N11" s="181"/>
      <c r="O11" s="181"/>
      <c r="P11" s="181"/>
      <c r="Q11" s="181"/>
      <c r="R11" s="181"/>
      <c r="S11" s="181"/>
      <c r="T11" s="177"/>
    </row>
    <row r="12" spans="2:20" x14ac:dyDescent="0.25">
      <c r="B12" s="7" t="s">
        <v>4</v>
      </c>
      <c r="C12" s="7" t="s">
        <v>5</v>
      </c>
      <c r="D12" s="7" t="s">
        <v>6</v>
      </c>
      <c r="E12" s="7" t="s">
        <v>7</v>
      </c>
      <c r="F12" s="8" t="s">
        <v>8</v>
      </c>
      <c r="G12" s="8"/>
      <c r="H12" s="8" t="s">
        <v>9</v>
      </c>
      <c r="I12" s="8"/>
      <c r="J12" s="8" t="s">
        <v>10</v>
      </c>
      <c r="K12" s="8"/>
      <c r="L12" s="8" t="s">
        <v>11</v>
      </c>
      <c r="M12" s="8"/>
      <c r="N12" s="8" t="s">
        <v>605</v>
      </c>
      <c r="O12" s="8"/>
      <c r="P12" s="8"/>
      <c r="Q12" s="8" t="s">
        <v>706</v>
      </c>
      <c r="R12" s="8" t="s">
        <v>707</v>
      </c>
      <c r="S12" s="8" t="s">
        <v>708</v>
      </c>
      <c r="T12" s="8" t="s">
        <v>705</v>
      </c>
    </row>
    <row r="13" spans="2:20" ht="6.75" customHeight="1" x14ac:dyDescent="0.25">
      <c r="B13" s="9"/>
      <c r="C13" s="9"/>
      <c r="D13" s="9"/>
      <c r="E13" s="10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</row>
    <row r="14" spans="2:20" x14ac:dyDescent="0.25">
      <c r="B14" s="117" t="s">
        <v>13</v>
      </c>
      <c r="C14" s="136" t="s">
        <v>14</v>
      </c>
      <c r="D14" s="14" t="s">
        <v>15</v>
      </c>
      <c r="E14" s="14" t="s">
        <v>16</v>
      </c>
      <c r="F14" s="15">
        <v>43969</v>
      </c>
      <c r="G14" s="16">
        <v>7.7499999999999999E-2</v>
      </c>
      <c r="H14" s="15"/>
      <c r="I14" s="16"/>
      <c r="J14" s="15"/>
      <c r="K14" s="16"/>
      <c r="L14" s="15"/>
      <c r="M14" s="63"/>
      <c r="N14" s="17"/>
      <c r="O14" s="16"/>
      <c r="P14" s="16"/>
      <c r="Q14" s="152">
        <f t="shared" ref="Q14:Q77" si="0">IF(F14&lt;=Exp20Q1,G14,0)+IF(H14&lt;=Exp20Q1,I14,0)+IF(J14&lt;=Exp20Q1,K14,0)+IF(L14&lt;=Exp20Q1,M14,0)+IF(N14&lt;=Exp20Q1,O14,0)</f>
        <v>0</v>
      </c>
      <c r="R14" s="152">
        <f t="shared" ref="R14:R77" si="1">IF(F14&lt;=Exp20H1,G14,0)+IF(H14&lt;=Exp20H1,I14,0)+IF(J14&lt;=Exp20H1,K14,0)+IF(L14&lt;=Exp20H1,M14,0)+IF(N14&lt;=Exp20H1,O14,0)</f>
        <v>7.7499999999999999E-2</v>
      </c>
      <c r="S14" s="152">
        <f t="shared" ref="S14:S77" si="2">IF(F14&lt;=Exp20Q3,G14,0)+IF(H14&lt;=Exp20Q3,I14,0)+IF(J14&lt;=Exp20Q3,K14,0)+IF(L14&lt;=Exp20Q3,M14,0)+IF(N14&lt;=Exp20Q3,O14,0)</f>
        <v>7.7499999999999999E-2</v>
      </c>
      <c r="T14" s="18">
        <f t="shared" ref="T14" si="3">G14+I14+K14+M14+O14</f>
        <v>7.7499999999999999E-2</v>
      </c>
    </row>
    <row r="15" spans="2:20" x14ac:dyDescent="0.25">
      <c r="B15" s="117" t="s">
        <v>684</v>
      </c>
      <c r="C15" s="136" t="s">
        <v>18</v>
      </c>
      <c r="D15" s="14" t="s">
        <v>15</v>
      </c>
      <c r="E15" s="14" t="s">
        <v>16</v>
      </c>
      <c r="F15" s="15">
        <v>44011</v>
      </c>
      <c r="G15" s="16">
        <v>0.8</v>
      </c>
      <c r="H15" s="15"/>
      <c r="I15" s="16"/>
      <c r="J15" s="15"/>
      <c r="K15" s="16"/>
      <c r="L15" s="15"/>
      <c r="M15" s="63"/>
      <c r="N15" s="17"/>
      <c r="O15" s="16"/>
      <c r="P15" s="16"/>
      <c r="Q15" s="152">
        <f t="shared" si="0"/>
        <v>0</v>
      </c>
      <c r="R15" s="152">
        <f t="shared" si="1"/>
        <v>0</v>
      </c>
      <c r="S15" s="152">
        <f t="shared" si="2"/>
        <v>0.8</v>
      </c>
      <c r="T15" s="18">
        <f t="shared" ref="T15:T78" si="4">G15+I15+K15+M15+O15</f>
        <v>0.8</v>
      </c>
    </row>
    <row r="16" spans="2:20" x14ac:dyDescent="0.25">
      <c r="B16" s="117" t="s">
        <v>19</v>
      </c>
      <c r="C16" s="136" t="s">
        <v>20</v>
      </c>
      <c r="D16" s="14" t="s">
        <v>15</v>
      </c>
      <c r="E16" s="14" t="s">
        <v>21</v>
      </c>
      <c r="F16" s="15">
        <v>43920</v>
      </c>
      <c r="G16" s="16">
        <v>0.8</v>
      </c>
      <c r="H16" s="15"/>
      <c r="I16" s="16"/>
      <c r="J16" s="15"/>
      <c r="K16" s="16"/>
      <c r="L16" s="15"/>
      <c r="M16" s="63"/>
      <c r="N16" s="17"/>
      <c r="O16" s="16"/>
      <c r="P16" s="16"/>
      <c r="Q16" s="152">
        <f t="shared" si="0"/>
        <v>0</v>
      </c>
      <c r="R16" s="152">
        <f t="shared" si="1"/>
        <v>0.8</v>
      </c>
      <c r="S16" s="152">
        <f t="shared" si="2"/>
        <v>0.8</v>
      </c>
      <c r="T16" s="18">
        <f t="shared" si="4"/>
        <v>0.8</v>
      </c>
    </row>
    <row r="17" spans="2:20" x14ac:dyDescent="0.25">
      <c r="B17" s="117" t="s">
        <v>715</v>
      </c>
      <c r="C17" s="136" t="s">
        <v>716</v>
      </c>
      <c r="D17" s="14" t="s">
        <v>15</v>
      </c>
      <c r="E17" s="14" t="s">
        <v>16</v>
      </c>
      <c r="F17" s="15"/>
      <c r="G17" s="16"/>
      <c r="H17" s="15"/>
      <c r="I17" s="16"/>
      <c r="J17" s="15"/>
      <c r="K17" s="16"/>
      <c r="L17" s="15"/>
      <c r="M17" s="63"/>
      <c r="N17" s="17"/>
      <c r="O17" s="16"/>
      <c r="P17" s="16"/>
      <c r="Q17" s="152">
        <f t="shared" si="0"/>
        <v>0</v>
      </c>
      <c r="R17" s="152">
        <f t="shared" si="1"/>
        <v>0</v>
      </c>
      <c r="S17" s="152">
        <f t="shared" si="2"/>
        <v>0</v>
      </c>
      <c r="T17" s="18">
        <f t="shared" si="4"/>
        <v>0</v>
      </c>
    </row>
    <row r="18" spans="2:20" x14ac:dyDescent="0.25">
      <c r="B18" s="117" t="s">
        <v>22</v>
      </c>
      <c r="C18" s="136" t="s">
        <v>23</v>
      </c>
      <c r="D18" s="14" t="s">
        <v>24</v>
      </c>
      <c r="E18" s="14" t="s">
        <v>16</v>
      </c>
      <c r="F18" s="15"/>
      <c r="G18" s="16"/>
      <c r="H18" s="15"/>
      <c r="I18" s="16"/>
      <c r="J18" s="15"/>
      <c r="K18" s="16"/>
      <c r="L18" s="15"/>
      <c r="M18" s="63"/>
      <c r="N18" s="17"/>
      <c r="O18" s="16"/>
      <c r="P18" s="16"/>
      <c r="Q18" s="152">
        <f t="shared" si="0"/>
        <v>0</v>
      </c>
      <c r="R18" s="152">
        <f t="shared" si="1"/>
        <v>0</v>
      </c>
      <c r="S18" s="152">
        <f t="shared" si="2"/>
        <v>0</v>
      </c>
      <c r="T18" s="18">
        <f t="shared" si="4"/>
        <v>0</v>
      </c>
    </row>
    <row r="19" spans="2:20" x14ac:dyDescent="0.25">
      <c r="B19" s="117" t="s">
        <v>25</v>
      </c>
      <c r="C19" s="136" t="s">
        <v>26</v>
      </c>
      <c r="D19" s="14" t="s">
        <v>27</v>
      </c>
      <c r="E19" s="14" t="s">
        <v>16</v>
      </c>
      <c r="F19" s="15">
        <v>44146</v>
      </c>
      <c r="G19" s="16">
        <v>2.3199999999999998</v>
      </c>
      <c r="H19" s="15"/>
      <c r="I19" s="16"/>
      <c r="J19" s="15"/>
      <c r="K19" s="16"/>
      <c r="L19" s="15"/>
      <c r="M19" s="63"/>
      <c r="N19" s="17"/>
      <c r="O19" s="16"/>
      <c r="P19" s="16"/>
      <c r="Q19" s="152">
        <f t="shared" si="0"/>
        <v>0</v>
      </c>
      <c r="R19" s="152">
        <f t="shared" si="1"/>
        <v>0</v>
      </c>
      <c r="S19" s="152">
        <f t="shared" si="2"/>
        <v>0</v>
      </c>
      <c r="T19" s="18">
        <f t="shared" si="4"/>
        <v>2.3199999999999998</v>
      </c>
    </row>
    <row r="20" spans="2:20" x14ac:dyDescent="0.25">
      <c r="B20" s="117" t="s">
        <v>28</v>
      </c>
      <c r="C20" s="136" t="s">
        <v>29</v>
      </c>
      <c r="D20" s="14" t="s">
        <v>15</v>
      </c>
      <c r="E20" s="14" t="s">
        <v>21</v>
      </c>
      <c r="F20" s="15">
        <v>43943</v>
      </c>
      <c r="G20" s="16">
        <v>2.5</v>
      </c>
      <c r="H20" s="15"/>
      <c r="I20" s="16"/>
      <c r="J20" s="15"/>
      <c r="K20" s="16"/>
      <c r="L20" s="15"/>
      <c r="M20" s="63"/>
      <c r="N20" s="17"/>
      <c r="O20" s="16"/>
      <c r="P20" s="16"/>
      <c r="Q20" s="152">
        <f t="shared" si="0"/>
        <v>0</v>
      </c>
      <c r="R20" s="152">
        <f t="shared" si="1"/>
        <v>2.5</v>
      </c>
      <c r="S20" s="152">
        <f t="shared" si="2"/>
        <v>2.5</v>
      </c>
      <c r="T20" s="18">
        <f t="shared" si="4"/>
        <v>2.5</v>
      </c>
    </row>
    <row r="21" spans="2:20" x14ac:dyDescent="0.25">
      <c r="B21" s="117" t="s">
        <v>30</v>
      </c>
      <c r="C21" s="136" t="s">
        <v>31</v>
      </c>
      <c r="D21" s="14" t="s">
        <v>15</v>
      </c>
      <c r="E21" s="14" t="s">
        <v>16</v>
      </c>
      <c r="F21" s="15"/>
      <c r="G21" s="16"/>
      <c r="H21" s="15"/>
      <c r="I21" s="16"/>
      <c r="J21" s="15"/>
      <c r="K21" s="16"/>
      <c r="L21" s="15"/>
      <c r="M21" s="63"/>
      <c r="N21" s="17"/>
      <c r="O21" s="16"/>
      <c r="P21" s="16"/>
      <c r="Q21" s="152">
        <f t="shared" si="0"/>
        <v>0</v>
      </c>
      <c r="R21" s="152">
        <f t="shared" si="1"/>
        <v>0</v>
      </c>
      <c r="S21" s="152">
        <f t="shared" si="2"/>
        <v>0</v>
      </c>
      <c r="T21" s="18">
        <f t="shared" si="4"/>
        <v>0</v>
      </c>
    </row>
    <row r="22" spans="2:20" x14ac:dyDescent="0.25">
      <c r="B22" s="117" t="s">
        <v>32</v>
      </c>
      <c r="C22" s="136" t="s">
        <v>33</v>
      </c>
      <c r="D22" s="14" t="s">
        <v>15</v>
      </c>
      <c r="E22" s="14" t="s">
        <v>16</v>
      </c>
      <c r="F22" s="15">
        <v>44064</v>
      </c>
      <c r="G22" s="16">
        <v>0.06</v>
      </c>
      <c r="H22" s="15"/>
      <c r="I22" s="16"/>
      <c r="J22" s="15"/>
      <c r="K22" s="16"/>
      <c r="L22" s="15"/>
      <c r="M22" s="63"/>
      <c r="N22" s="17"/>
      <c r="O22" s="16"/>
      <c r="P22" s="16"/>
      <c r="Q22" s="152">
        <f t="shared" si="0"/>
        <v>0</v>
      </c>
      <c r="R22" s="152">
        <f t="shared" si="1"/>
        <v>0</v>
      </c>
      <c r="S22" s="152">
        <f t="shared" si="2"/>
        <v>0.06</v>
      </c>
      <c r="T22" s="18">
        <f t="shared" si="4"/>
        <v>0.06</v>
      </c>
    </row>
    <row r="23" spans="2:20" x14ac:dyDescent="0.25">
      <c r="B23" s="117" t="s">
        <v>630</v>
      </c>
      <c r="C23" s="136" t="s">
        <v>625</v>
      </c>
      <c r="D23" s="14" t="s">
        <v>15</v>
      </c>
      <c r="E23" s="14" t="s">
        <v>16</v>
      </c>
      <c r="F23" s="15"/>
      <c r="G23" s="16"/>
      <c r="H23" s="15"/>
      <c r="I23" s="16"/>
      <c r="J23" s="15"/>
      <c r="K23" s="16"/>
      <c r="L23" s="15"/>
      <c r="M23" s="63"/>
      <c r="N23" s="17"/>
      <c r="O23" s="16"/>
      <c r="P23" s="16"/>
      <c r="Q23" s="152">
        <f t="shared" si="0"/>
        <v>0</v>
      </c>
      <c r="R23" s="152">
        <f t="shared" si="1"/>
        <v>0</v>
      </c>
      <c r="S23" s="152">
        <f t="shared" si="2"/>
        <v>0</v>
      </c>
      <c r="T23" s="18">
        <f t="shared" si="4"/>
        <v>0</v>
      </c>
    </row>
    <row r="24" spans="2:20" x14ac:dyDescent="0.25">
      <c r="B24" s="117" t="s">
        <v>34</v>
      </c>
      <c r="C24" s="136" t="s">
        <v>35</v>
      </c>
      <c r="D24" s="14" t="s">
        <v>27</v>
      </c>
      <c r="E24" s="14" t="s">
        <v>16</v>
      </c>
      <c r="F24" s="15">
        <v>43984</v>
      </c>
      <c r="G24" s="16">
        <v>0.27</v>
      </c>
      <c r="H24" s="15">
        <v>44138</v>
      </c>
      <c r="I24" s="16">
        <v>2.38</v>
      </c>
      <c r="J24" s="15"/>
      <c r="K24" s="16"/>
      <c r="L24" s="15"/>
      <c r="M24" s="63"/>
      <c r="N24" s="17"/>
      <c r="O24" s="16"/>
      <c r="P24" s="16"/>
      <c r="Q24" s="152">
        <f t="shared" si="0"/>
        <v>0</v>
      </c>
      <c r="R24" s="152">
        <f t="shared" si="1"/>
        <v>0.27</v>
      </c>
      <c r="S24" s="152">
        <f t="shared" si="2"/>
        <v>0.27</v>
      </c>
      <c r="T24" s="18">
        <f t="shared" si="4"/>
        <v>2.65</v>
      </c>
    </row>
    <row r="25" spans="2:20" x14ac:dyDescent="0.25">
      <c r="B25" s="117" t="s">
        <v>36</v>
      </c>
      <c r="C25" s="136" t="s">
        <v>37</v>
      </c>
      <c r="D25" s="14" t="s">
        <v>15</v>
      </c>
      <c r="E25" s="14" t="s">
        <v>16</v>
      </c>
      <c r="F25" s="15">
        <v>43935</v>
      </c>
      <c r="G25" s="16">
        <v>0.46</v>
      </c>
      <c r="H25" s="15">
        <v>44050</v>
      </c>
      <c r="I25" s="16">
        <v>0.5</v>
      </c>
      <c r="J25" s="15"/>
      <c r="K25" s="16"/>
      <c r="L25" s="15"/>
      <c r="M25" s="63"/>
      <c r="N25" s="17"/>
      <c r="O25" s="16"/>
      <c r="P25" s="16"/>
      <c r="Q25" s="152">
        <f t="shared" si="0"/>
        <v>0</v>
      </c>
      <c r="R25" s="152">
        <f t="shared" si="1"/>
        <v>0.46</v>
      </c>
      <c r="S25" s="152">
        <f t="shared" si="2"/>
        <v>0.96</v>
      </c>
      <c r="T25" s="18">
        <f t="shared" si="4"/>
        <v>0.96</v>
      </c>
    </row>
    <row r="26" spans="2:20" x14ac:dyDescent="0.25">
      <c r="B26" s="117" t="s">
        <v>41</v>
      </c>
      <c r="C26" s="136" t="s">
        <v>42</v>
      </c>
      <c r="D26" s="14" t="s">
        <v>24</v>
      </c>
      <c r="E26" s="14" t="s">
        <v>16</v>
      </c>
      <c r="F26" s="15">
        <v>43962</v>
      </c>
      <c r="G26" s="16">
        <v>2.7</v>
      </c>
      <c r="H26" s="15"/>
      <c r="I26" s="16"/>
      <c r="J26" s="15"/>
      <c r="K26" s="16"/>
      <c r="L26" s="15"/>
      <c r="M26" s="63"/>
      <c r="N26" s="17"/>
      <c r="O26" s="16"/>
      <c r="P26" s="16"/>
      <c r="Q26" s="152">
        <f t="shared" si="0"/>
        <v>0</v>
      </c>
      <c r="R26" s="152">
        <f t="shared" si="1"/>
        <v>2.7</v>
      </c>
      <c r="S26" s="152">
        <f t="shared" si="2"/>
        <v>2.7</v>
      </c>
      <c r="T26" s="18">
        <f t="shared" si="4"/>
        <v>2.7</v>
      </c>
    </row>
    <row r="27" spans="2:20" x14ac:dyDescent="0.25">
      <c r="B27" s="117" t="s">
        <v>43</v>
      </c>
      <c r="C27" s="136" t="s">
        <v>44</v>
      </c>
      <c r="D27" s="14" t="s">
        <v>24</v>
      </c>
      <c r="E27" s="14" t="s">
        <v>16</v>
      </c>
      <c r="F27" s="15"/>
      <c r="G27" s="16"/>
      <c r="H27" s="15"/>
      <c r="I27" s="16"/>
      <c r="J27" s="15"/>
      <c r="K27" s="16"/>
      <c r="L27" s="15"/>
      <c r="M27" s="63"/>
      <c r="N27" s="17"/>
      <c r="O27" s="16"/>
      <c r="P27" s="16"/>
      <c r="Q27" s="152">
        <f t="shared" si="0"/>
        <v>0</v>
      </c>
      <c r="R27" s="152">
        <f t="shared" si="1"/>
        <v>0</v>
      </c>
      <c r="S27" s="152">
        <f t="shared" si="2"/>
        <v>0</v>
      </c>
      <c r="T27" s="18">
        <f t="shared" si="4"/>
        <v>0</v>
      </c>
    </row>
    <row r="28" spans="2:20" x14ac:dyDescent="0.25">
      <c r="B28" s="117" t="s">
        <v>45</v>
      </c>
      <c r="C28" s="136" t="s">
        <v>46</v>
      </c>
      <c r="D28" s="14" t="s">
        <v>15</v>
      </c>
      <c r="E28" s="14" t="s">
        <v>16</v>
      </c>
      <c r="F28" s="15">
        <v>43948</v>
      </c>
      <c r="G28" s="16">
        <v>1.49</v>
      </c>
      <c r="H28" s="15">
        <v>44127</v>
      </c>
      <c r="I28" s="16">
        <v>0.43</v>
      </c>
      <c r="J28" s="15"/>
      <c r="K28" s="16"/>
      <c r="L28" s="15"/>
      <c r="M28" s="63"/>
      <c r="N28" s="17"/>
      <c r="O28" s="16"/>
      <c r="P28" s="16"/>
      <c r="Q28" s="152">
        <f t="shared" si="0"/>
        <v>0</v>
      </c>
      <c r="R28" s="152">
        <f t="shared" si="1"/>
        <v>1.49</v>
      </c>
      <c r="S28" s="152">
        <f t="shared" si="2"/>
        <v>1.49</v>
      </c>
      <c r="T28" s="18">
        <f t="shared" si="4"/>
        <v>1.92</v>
      </c>
    </row>
    <row r="29" spans="2:20" x14ac:dyDescent="0.25">
      <c r="B29" s="117" t="s">
        <v>47</v>
      </c>
      <c r="C29" s="136" t="s">
        <v>48</v>
      </c>
      <c r="D29" s="14" t="s">
        <v>15</v>
      </c>
      <c r="E29" s="14" t="s">
        <v>16</v>
      </c>
      <c r="F29" s="15">
        <v>43958</v>
      </c>
      <c r="G29" s="16">
        <v>9.6</v>
      </c>
      <c r="H29" s="15"/>
      <c r="I29" s="16"/>
      <c r="J29" s="15"/>
      <c r="K29" s="16"/>
      <c r="L29" s="15"/>
      <c r="M29" s="16"/>
      <c r="N29" s="17"/>
      <c r="O29" s="16"/>
      <c r="P29" s="16"/>
      <c r="Q29" s="152">
        <f t="shared" si="0"/>
        <v>0</v>
      </c>
      <c r="R29" s="152">
        <f t="shared" si="1"/>
        <v>9.6</v>
      </c>
      <c r="S29" s="152">
        <f t="shared" si="2"/>
        <v>9.6</v>
      </c>
      <c r="T29" s="18">
        <f t="shared" si="4"/>
        <v>9.6</v>
      </c>
    </row>
    <row r="30" spans="2:20" x14ac:dyDescent="0.25">
      <c r="B30" s="117" t="s">
        <v>49</v>
      </c>
      <c r="C30" s="136" t="s">
        <v>50</v>
      </c>
      <c r="D30" s="14" t="s">
        <v>24</v>
      </c>
      <c r="E30" s="14" t="s">
        <v>16</v>
      </c>
      <c r="F30" s="15"/>
      <c r="G30" s="16"/>
      <c r="H30" s="15"/>
      <c r="I30" s="16"/>
      <c r="J30" s="15"/>
      <c r="K30" s="16"/>
      <c r="L30" s="15"/>
      <c r="M30" s="16"/>
      <c r="N30" s="17"/>
      <c r="O30" s="16"/>
      <c r="P30" s="16"/>
      <c r="Q30" s="152">
        <f t="shared" si="0"/>
        <v>0</v>
      </c>
      <c r="R30" s="152">
        <f t="shared" si="1"/>
        <v>0</v>
      </c>
      <c r="S30" s="152">
        <f t="shared" si="2"/>
        <v>0</v>
      </c>
      <c r="T30" s="18">
        <f t="shared" si="4"/>
        <v>0</v>
      </c>
    </row>
    <row r="31" spans="2:20" x14ac:dyDescent="0.25">
      <c r="B31" s="117" t="s">
        <v>51</v>
      </c>
      <c r="C31" s="136" t="s">
        <v>52</v>
      </c>
      <c r="D31" s="14" t="s">
        <v>15</v>
      </c>
      <c r="E31" s="14" t="s">
        <v>16</v>
      </c>
      <c r="F31" s="15">
        <v>43845</v>
      </c>
      <c r="G31" s="16">
        <v>0.56000000000000005</v>
      </c>
      <c r="H31" s="15"/>
      <c r="I31" s="16"/>
      <c r="J31" s="15"/>
      <c r="K31" s="16"/>
      <c r="L31" s="15"/>
      <c r="M31" s="16"/>
      <c r="N31" s="17"/>
      <c r="O31" s="16"/>
      <c r="P31" s="16"/>
      <c r="Q31" s="152">
        <f t="shared" si="0"/>
        <v>0.56000000000000005</v>
      </c>
      <c r="R31" s="152">
        <f t="shared" si="1"/>
        <v>0.56000000000000005</v>
      </c>
      <c r="S31" s="152">
        <f t="shared" si="2"/>
        <v>0.56000000000000005</v>
      </c>
      <c r="T31" s="18">
        <f t="shared" si="4"/>
        <v>0.56000000000000005</v>
      </c>
    </row>
    <row r="32" spans="2:20" x14ac:dyDescent="0.25">
      <c r="B32" s="117" t="s">
        <v>57</v>
      </c>
      <c r="C32" s="136" t="s">
        <v>58</v>
      </c>
      <c r="D32" s="14" t="s">
        <v>15</v>
      </c>
      <c r="E32" s="14" t="s">
        <v>56</v>
      </c>
      <c r="F32" s="15">
        <v>43902</v>
      </c>
      <c r="G32" s="16">
        <v>0.47</v>
      </c>
      <c r="H32" s="15">
        <v>44063</v>
      </c>
      <c r="I32" s="16">
        <v>0.28000000000000003</v>
      </c>
      <c r="J32" s="15"/>
      <c r="K32" s="16"/>
      <c r="L32" s="15"/>
      <c r="M32" s="63"/>
      <c r="N32" s="17"/>
      <c r="O32" s="16"/>
      <c r="P32" s="16"/>
      <c r="Q32" s="152">
        <f t="shared" si="0"/>
        <v>0.47</v>
      </c>
      <c r="R32" s="152">
        <f t="shared" si="1"/>
        <v>0.47</v>
      </c>
      <c r="S32" s="152">
        <f t="shared" si="2"/>
        <v>0.75</v>
      </c>
      <c r="T32" s="18">
        <f t="shared" si="4"/>
        <v>0.75</v>
      </c>
    </row>
    <row r="33" spans="1:21" x14ac:dyDescent="0.25">
      <c r="B33" s="117" t="s">
        <v>59</v>
      </c>
      <c r="C33" s="136" t="s">
        <v>60</v>
      </c>
      <c r="D33" s="14" t="s">
        <v>27</v>
      </c>
      <c r="E33" s="14" t="s">
        <v>16</v>
      </c>
      <c r="F33" s="15">
        <v>43991</v>
      </c>
      <c r="G33" s="16">
        <v>0.5</v>
      </c>
      <c r="H33" s="15"/>
      <c r="I33" s="16"/>
      <c r="J33" s="15"/>
      <c r="K33" s="16"/>
      <c r="L33" s="15"/>
      <c r="M33" s="63"/>
      <c r="N33" s="17"/>
      <c r="O33" s="16"/>
      <c r="P33" s="16"/>
      <c r="Q33" s="152">
        <f t="shared" si="0"/>
        <v>0</v>
      </c>
      <c r="R33" s="152">
        <f t="shared" si="1"/>
        <v>0.5</v>
      </c>
      <c r="S33" s="152">
        <f t="shared" si="2"/>
        <v>0.5</v>
      </c>
      <c r="T33" s="18">
        <f t="shared" si="4"/>
        <v>0.5</v>
      </c>
    </row>
    <row r="34" spans="1:21" x14ac:dyDescent="0.25">
      <c r="B34" s="117" t="s">
        <v>63</v>
      </c>
      <c r="C34" s="136" t="s">
        <v>64</v>
      </c>
      <c r="D34" s="14" t="s">
        <v>15</v>
      </c>
      <c r="E34" s="14" t="s">
        <v>16</v>
      </c>
      <c r="F34" s="15"/>
      <c r="G34" s="16"/>
      <c r="H34" s="15"/>
      <c r="I34" s="16"/>
      <c r="J34" s="15"/>
      <c r="K34" s="16"/>
      <c r="L34" s="15"/>
      <c r="M34" s="63"/>
      <c r="N34" s="17"/>
      <c r="O34" s="16"/>
      <c r="P34" s="16"/>
      <c r="Q34" s="152">
        <f t="shared" si="0"/>
        <v>0</v>
      </c>
      <c r="R34" s="152">
        <f t="shared" si="1"/>
        <v>0</v>
      </c>
      <c r="S34" s="152">
        <f t="shared" si="2"/>
        <v>0</v>
      </c>
      <c r="T34" s="18">
        <f t="shared" si="4"/>
        <v>0</v>
      </c>
    </row>
    <row r="35" spans="1:21" x14ac:dyDescent="0.25">
      <c r="B35" s="117" t="s">
        <v>65</v>
      </c>
      <c r="C35" s="136" t="s">
        <v>66</v>
      </c>
      <c r="D35" s="14" t="s">
        <v>15</v>
      </c>
      <c r="E35" s="14" t="s">
        <v>16</v>
      </c>
      <c r="F35" s="15">
        <v>43945</v>
      </c>
      <c r="G35" s="16">
        <v>1.35</v>
      </c>
      <c r="H35" s="15">
        <v>44137</v>
      </c>
      <c r="I35" s="16">
        <v>1.2</v>
      </c>
      <c r="J35" s="15"/>
      <c r="K35" s="16"/>
      <c r="L35" s="15"/>
      <c r="M35" s="63"/>
      <c r="N35" s="17"/>
      <c r="O35" s="16"/>
      <c r="P35" s="16"/>
      <c r="Q35" s="152">
        <f t="shared" si="0"/>
        <v>0</v>
      </c>
      <c r="R35" s="152">
        <f t="shared" si="1"/>
        <v>1.35</v>
      </c>
      <c r="S35" s="152">
        <f t="shared" si="2"/>
        <v>1.35</v>
      </c>
      <c r="T35" s="18">
        <f t="shared" si="4"/>
        <v>2.5499999999999998</v>
      </c>
    </row>
    <row r="36" spans="1:21" x14ac:dyDescent="0.25">
      <c r="B36" s="117" t="s">
        <v>67</v>
      </c>
      <c r="C36" s="136" t="s">
        <v>68</v>
      </c>
      <c r="D36" s="14" t="s">
        <v>15</v>
      </c>
      <c r="E36" s="14" t="s">
        <v>16</v>
      </c>
      <c r="F36" s="15">
        <v>43969</v>
      </c>
      <c r="G36" s="16">
        <v>0.5</v>
      </c>
      <c r="H36" s="15"/>
      <c r="I36" s="16"/>
      <c r="J36" s="15"/>
      <c r="K36" s="16"/>
      <c r="L36" s="15"/>
      <c r="M36" s="63"/>
      <c r="N36" s="17"/>
      <c r="O36" s="16"/>
      <c r="P36" s="16"/>
      <c r="Q36" s="152">
        <f t="shared" si="0"/>
        <v>0</v>
      </c>
      <c r="R36" s="152">
        <f t="shared" si="1"/>
        <v>0.5</v>
      </c>
      <c r="S36" s="152">
        <f t="shared" si="2"/>
        <v>0.5</v>
      </c>
      <c r="T36" s="18">
        <f t="shared" si="4"/>
        <v>0.5</v>
      </c>
    </row>
    <row r="37" spans="1:21" x14ac:dyDescent="0.25">
      <c r="B37" s="117" t="s">
        <v>69</v>
      </c>
      <c r="C37" s="136" t="s">
        <v>70</v>
      </c>
      <c r="D37" s="14" t="s">
        <v>15</v>
      </c>
      <c r="E37" s="14" t="s">
        <v>56</v>
      </c>
      <c r="F37" s="15">
        <v>43888</v>
      </c>
      <c r="G37" s="16">
        <v>1.9</v>
      </c>
      <c r="H37" s="15">
        <v>44056</v>
      </c>
      <c r="I37" s="16">
        <v>0.9</v>
      </c>
      <c r="J37" s="15"/>
      <c r="K37" s="16"/>
      <c r="L37" s="15"/>
      <c r="M37" s="63"/>
      <c r="N37" s="17"/>
      <c r="O37" s="16"/>
      <c r="P37" s="16"/>
      <c r="Q37" s="152">
        <f t="shared" si="0"/>
        <v>1.9</v>
      </c>
      <c r="R37" s="152">
        <f t="shared" si="1"/>
        <v>1.9</v>
      </c>
      <c r="S37" s="152">
        <f t="shared" si="2"/>
        <v>2.8</v>
      </c>
      <c r="T37" s="18">
        <f t="shared" si="4"/>
        <v>2.8</v>
      </c>
    </row>
    <row r="38" spans="1:21" x14ac:dyDescent="0.25">
      <c r="A38" s="33"/>
      <c r="B38" s="117" t="s">
        <v>73</v>
      </c>
      <c r="C38" s="136" t="s">
        <v>74</v>
      </c>
      <c r="D38" s="14" t="s">
        <v>15</v>
      </c>
      <c r="E38" s="14" t="s">
        <v>16</v>
      </c>
      <c r="F38" s="15"/>
      <c r="G38" s="16"/>
      <c r="H38" s="15"/>
      <c r="I38" s="16"/>
      <c r="J38" s="15"/>
      <c r="K38" s="16"/>
      <c r="L38" s="15"/>
      <c r="M38" s="63"/>
      <c r="N38" s="17"/>
      <c r="O38" s="16"/>
      <c r="P38" s="16"/>
      <c r="Q38" s="152">
        <f t="shared" si="0"/>
        <v>0</v>
      </c>
      <c r="R38" s="152">
        <f t="shared" si="1"/>
        <v>0</v>
      </c>
      <c r="S38" s="152">
        <f t="shared" si="2"/>
        <v>0</v>
      </c>
      <c r="T38" s="18">
        <f t="shared" si="4"/>
        <v>0</v>
      </c>
      <c r="U38" s="36"/>
    </row>
    <row r="39" spans="1:21" x14ac:dyDescent="0.25">
      <c r="A39" s="33"/>
      <c r="B39" s="117" t="s">
        <v>694</v>
      </c>
      <c r="C39" s="136" t="s">
        <v>695</v>
      </c>
      <c r="D39" s="14" t="s">
        <v>24</v>
      </c>
      <c r="E39" s="14" t="s">
        <v>16</v>
      </c>
      <c r="F39" s="15"/>
      <c r="G39" s="16"/>
      <c r="H39" s="15"/>
      <c r="I39" s="16"/>
      <c r="J39" s="15"/>
      <c r="K39" s="16"/>
      <c r="L39" s="15"/>
      <c r="M39" s="63"/>
      <c r="N39" s="17"/>
      <c r="O39" s="16"/>
      <c r="P39" s="16"/>
      <c r="Q39" s="152">
        <f t="shared" si="0"/>
        <v>0</v>
      </c>
      <c r="R39" s="152">
        <f t="shared" si="1"/>
        <v>0</v>
      </c>
      <c r="S39" s="152">
        <f t="shared" si="2"/>
        <v>0</v>
      </c>
      <c r="T39" s="18">
        <f t="shared" si="4"/>
        <v>0</v>
      </c>
      <c r="U39" s="36"/>
    </row>
    <row r="40" spans="1:21" x14ac:dyDescent="0.25">
      <c r="A40" s="33"/>
      <c r="B40" s="117" t="s">
        <v>75</v>
      </c>
      <c r="C40" s="136" t="s">
        <v>76</v>
      </c>
      <c r="D40" s="14" t="s">
        <v>15</v>
      </c>
      <c r="E40" s="14" t="s">
        <v>77</v>
      </c>
      <c r="F40" s="15">
        <v>44056</v>
      </c>
      <c r="G40" s="16">
        <v>6</v>
      </c>
      <c r="H40" s="15">
        <v>44175</v>
      </c>
      <c r="I40" s="16">
        <v>7</v>
      </c>
      <c r="J40" s="15"/>
      <c r="K40" s="16"/>
      <c r="L40" s="15"/>
      <c r="M40" s="63"/>
      <c r="N40" s="17"/>
      <c r="O40" s="16"/>
      <c r="P40" s="16"/>
      <c r="Q40" s="152">
        <f t="shared" si="0"/>
        <v>0</v>
      </c>
      <c r="R40" s="152">
        <f t="shared" si="1"/>
        <v>0</v>
      </c>
      <c r="S40" s="152">
        <f t="shared" si="2"/>
        <v>6</v>
      </c>
      <c r="T40" s="18">
        <f t="shared" si="4"/>
        <v>13</v>
      </c>
      <c r="U40" s="36"/>
    </row>
    <row r="41" spans="1:21" x14ac:dyDescent="0.25">
      <c r="A41" s="33"/>
      <c r="B41" s="117" t="s">
        <v>78</v>
      </c>
      <c r="C41" s="136" t="s">
        <v>79</v>
      </c>
      <c r="D41" s="14" t="s">
        <v>24</v>
      </c>
      <c r="E41" s="14" t="s">
        <v>16</v>
      </c>
      <c r="F41" s="15">
        <v>44019</v>
      </c>
      <c r="G41" s="16">
        <v>0.73</v>
      </c>
      <c r="H41" s="15"/>
      <c r="I41" s="16"/>
      <c r="J41" s="15"/>
      <c r="K41" s="16"/>
      <c r="L41" s="15"/>
      <c r="M41" s="63"/>
      <c r="N41" s="17"/>
      <c r="O41" s="16"/>
      <c r="P41" s="16"/>
      <c r="Q41" s="152">
        <f t="shared" si="0"/>
        <v>0</v>
      </c>
      <c r="R41" s="152">
        <f t="shared" si="1"/>
        <v>0</v>
      </c>
      <c r="S41" s="152">
        <f t="shared" si="2"/>
        <v>0.73</v>
      </c>
      <c r="T41" s="18">
        <f t="shared" si="4"/>
        <v>0.73</v>
      </c>
      <c r="U41" s="36"/>
    </row>
    <row r="42" spans="1:21" x14ac:dyDescent="0.25">
      <c r="A42" s="33"/>
      <c r="B42" s="117" t="s">
        <v>80</v>
      </c>
      <c r="C42" s="136" t="s">
        <v>81</v>
      </c>
      <c r="D42" s="14" t="s">
        <v>15</v>
      </c>
      <c r="E42" s="14" t="s">
        <v>16</v>
      </c>
      <c r="F42" s="15">
        <v>43969</v>
      </c>
      <c r="G42" s="16">
        <v>1</v>
      </c>
      <c r="H42" s="15"/>
      <c r="I42" s="16"/>
      <c r="J42" s="15"/>
      <c r="K42" s="16"/>
      <c r="L42" s="15"/>
      <c r="M42" s="63"/>
      <c r="N42" s="17"/>
      <c r="O42" s="16"/>
      <c r="P42" s="16"/>
      <c r="Q42" s="152">
        <f t="shared" si="0"/>
        <v>0</v>
      </c>
      <c r="R42" s="152">
        <f t="shared" si="1"/>
        <v>1</v>
      </c>
      <c r="S42" s="152">
        <f t="shared" si="2"/>
        <v>1</v>
      </c>
      <c r="T42" s="18">
        <f t="shared" si="4"/>
        <v>1</v>
      </c>
      <c r="U42" s="36"/>
    </row>
    <row r="43" spans="1:21" x14ac:dyDescent="0.25">
      <c r="A43" s="33"/>
      <c r="B43" s="117" t="s">
        <v>82</v>
      </c>
      <c r="C43" s="136" t="s">
        <v>83</v>
      </c>
      <c r="D43" s="14" t="s">
        <v>15</v>
      </c>
      <c r="E43" s="14" t="s">
        <v>77</v>
      </c>
      <c r="F43" s="15">
        <v>44049</v>
      </c>
      <c r="G43" s="16">
        <v>13.8</v>
      </c>
      <c r="H43" s="15">
        <v>44126</v>
      </c>
      <c r="I43" s="16">
        <v>9.4</v>
      </c>
      <c r="J43" s="15"/>
      <c r="K43" s="16"/>
      <c r="L43" s="15"/>
      <c r="M43" s="63"/>
      <c r="N43" s="17"/>
      <c r="O43" s="16"/>
      <c r="P43" s="16"/>
      <c r="Q43" s="152">
        <f t="shared" si="0"/>
        <v>0</v>
      </c>
      <c r="R43" s="152">
        <f t="shared" si="1"/>
        <v>0</v>
      </c>
      <c r="S43" s="152">
        <f t="shared" si="2"/>
        <v>13.8</v>
      </c>
      <c r="T43" s="18">
        <f t="shared" si="4"/>
        <v>23.200000000000003</v>
      </c>
      <c r="U43" s="36"/>
    </row>
    <row r="44" spans="1:21" x14ac:dyDescent="0.25">
      <c r="B44" s="117" t="s">
        <v>84</v>
      </c>
      <c r="C44" s="136" t="s">
        <v>85</v>
      </c>
      <c r="D44" s="14" t="s">
        <v>15</v>
      </c>
      <c r="E44" s="14" t="s">
        <v>16</v>
      </c>
      <c r="F44" s="15"/>
      <c r="G44" s="16"/>
      <c r="H44" s="15"/>
      <c r="I44" s="16"/>
      <c r="J44" s="15"/>
      <c r="K44" s="16"/>
      <c r="L44" s="15"/>
      <c r="M44" s="63"/>
      <c r="N44" s="17"/>
      <c r="O44" s="16"/>
      <c r="P44" s="16"/>
      <c r="Q44" s="152">
        <f t="shared" si="0"/>
        <v>0</v>
      </c>
      <c r="R44" s="152">
        <f t="shared" si="1"/>
        <v>0</v>
      </c>
      <c r="S44" s="152">
        <f t="shared" si="2"/>
        <v>0</v>
      </c>
      <c r="T44" s="18">
        <f t="shared" si="4"/>
        <v>0</v>
      </c>
    </row>
    <row r="45" spans="1:21" x14ac:dyDescent="0.25">
      <c r="B45" s="117" t="s">
        <v>86</v>
      </c>
      <c r="C45" s="136" t="s">
        <v>87</v>
      </c>
      <c r="D45" s="14" t="s">
        <v>15</v>
      </c>
      <c r="E45" s="14" t="s">
        <v>16</v>
      </c>
      <c r="F45" s="15">
        <v>43928</v>
      </c>
      <c r="G45" s="16">
        <v>0.16</v>
      </c>
      <c r="H45" s="15"/>
      <c r="I45" s="16"/>
      <c r="J45" s="15"/>
      <c r="K45" s="16"/>
      <c r="L45" s="15"/>
      <c r="M45" s="63"/>
      <c r="N45" s="17"/>
      <c r="O45" s="16"/>
      <c r="P45" s="16"/>
      <c r="Q45" s="152">
        <f t="shared" si="0"/>
        <v>0</v>
      </c>
      <c r="R45" s="152">
        <f t="shared" si="1"/>
        <v>0.16</v>
      </c>
      <c r="S45" s="152">
        <f t="shared" si="2"/>
        <v>0.16</v>
      </c>
      <c r="T45" s="18">
        <f t="shared" si="4"/>
        <v>0.16</v>
      </c>
    </row>
    <row r="46" spans="1:21" x14ac:dyDescent="0.25">
      <c r="B46" s="117" t="s">
        <v>88</v>
      </c>
      <c r="C46" s="136" t="s">
        <v>89</v>
      </c>
      <c r="D46" s="14" t="s">
        <v>15</v>
      </c>
      <c r="E46" s="14" t="s">
        <v>16</v>
      </c>
      <c r="F46" s="15"/>
      <c r="G46" s="16"/>
      <c r="H46" s="15"/>
      <c r="I46" s="16"/>
      <c r="J46" s="15"/>
      <c r="K46" s="16"/>
      <c r="L46" s="15"/>
      <c r="M46" s="63"/>
      <c r="N46" s="17"/>
      <c r="O46" s="16"/>
      <c r="P46" s="16"/>
      <c r="Q46" s="152">
        <f t="shared" si="0"/>
        <v>0</v>
      </c>
      <c r="R46" s="152">
        <f t="shared" si="1"/>
        <v>0</v>
      </c>
      <c r="S46" s="152">
        <f t="shared" si="2"/>
        <v>0</v>
      </c>
      <c r="T46" s="18">
        <f t="shared" si="4"/>
        <v>0</v>
      </c>
    </row>
    <row r="47" spans="1:21" x14ac:dyDescent="0.25">
      <c r="B47" s="117" t="s">
        <v>90</v>
      </c>
      <c r="C47" s="136" t="s">
        <v>91</v>
      </c>
      <c r="D47" s="14" t="s">
        <v>15</v>
      </c>
      <c r="E47" s="14" t="s">
        <v>16</v>
      </c>
      <c r="F47" s="15">
        <v>44151</v>
      </c>
      <c r="G47" s="16">
        <v>0.1</v>
      </c>
      <c r="H47" s="15"/>
      <c r="I47" s="16"/>
      <c r="J47" s="15"/>
      <c r="K47" s="16"/>
      <c r="L47" s="15"/>
      <c r="M47" s="63"/>
      <c r="N47" s="17"/>
      <c r="O47" s="16"/>
      <c r="P47" s="16"/>
      <c r="Q47" s="152">
        <f t="shared" si="0"/>
        <v>0</v>
      </c>
      <c r="R47" s="152">
        <f t="shared" si="1"/>
        <v>0</v>
      </c>
      <c r="S47" s="152">
        <f t="shared" si="2"/>
        <v>0</v>
      </c>
      <c r="T47" s="18">
        <f t="shared" si="4"/>
        <v>0.1</v>
      </c>
    </row>
    <row r="48" spans="1:21" x14ac:dyDescent="0.25">
      <c r="B48" s="117" t="s">
        <v>92</v>
      </c>
      <c r="C48" s="136" t="s">
        <v>93</v>
      </c>
      <c r="D48" s="14" t="s">
        <v>15</v>
      </c>
      <c r="E48" s="14" t="s">
        <v>16</v>
      </c>
      <c r="F48" s="15">
        <v>43921</v>
      </c>
      <c r="G48" s="28">
        <v>0.11576</v>
      </c>
      <c r="H48" s="15"/>
      <c r="I48" s="16"/>
      <c r="J48" s="15"/>
      <c r="K48" s="16"/>
      <c r="L48" s="15"/>
      <c r="M48" s="16"/>
      <c r="N48" s="17"/>
      <c r="O48" s="16"/>
      <c r="P48" s="16"/>
      <c r="Q48" s="152">
        <f t="shared" si="0"/>
        <v>0</v>
      </c>
      <c r="R48" s="152">
        <f t="shared" si="1"/>
        <v>0.11576</v>
      </c>
      <c r="S48" s="152">
        <f t="shared" si="2"/>
        <v>0.11576</v>
      </c>
      <c r="T48" s="18">
        <f t="shared" si="4"/>
        <v>0.11576</v>
      </c>
    </row>
    <row r="49" spans="2:20" x14ac:dyDescent="0.25">
      <c r="B49" s="117" t="s">
        <v>94</v>
      </c>
      <c r="C49" s="136" t="s">
        <v>95</v>
      </c>
      <c r="D49" s="14" t="s">
        <v>15</v>
      </c>
      <c r="E49" s="14" t="s">
        <v>16</v>
      </c>
      <c r="F49" s="15">
        <v>43822</v>
      </c>
      <c r="G49" s="16">
        <v>6.4799999999999996E-2</v>
      </c>
      <c r="H49" s="15">
        <v>43914</v>
      </c>
      <c r="I49" s="16">
        <v>9.7647999999999999E-2</v>
      </c>
      <c r="J49" s="15"/>
      <c r="K49" s="16"/>
      <c r="L49" s="15"/>
      <c r="M49" s="63"/>
      <c r="N49" s="17"/>
      <c r="O49" s="16"/>
      <c r="P49" s="16"/>
      <c r="Q49" s="152">
        <f t="shared" si="0"/>
        <v>6.4799999999999996E-2</v>
      </c>
      <c r="R49" s="152">
        <f t="shared" si="1"/>
        <v>0.16244799999999998</v>
      </c>
      <c r="S49" s="152">
        <f t="shared" si="2"/>
        <v>0.16244799999999998</v>
      </c>
      <c r="T49" s="18">
        <f t="shared" si="4"/>
        <v>0.16244799999999998</v>
      </c>
    </row>
    <row r="50" spans="2:20" x14ac:dyDescent="0.25">
      <c r="B50" s="117" t="s">
        <v>96</v>
      </c>
      <c r="C50" s="136" t="s">
        <v>97</v>
      </c>
      <c r="D50" s="14" t="s">
        <v>15</v>
      </c>
      <c r="E50" s="14" t="s">
        <v>77</v>
      </c>
      <c r="F50" s="15"/>
      <c r="G50" s="16"/>
      <c r="H50" s="15"/>
      <c r="I50" s="16"/>
      <c r="J50" s="15"/>
      <c r="K50" s="16"/>
      <c r="L50" s="15"/>
      <c r="M50" s="63"/>
      <c r="N50" s="17"/>
      <c r="O50" s="16"/>
      <c r="P50" s="16"/>
      <c r="Q50" s="152">
        <f t="shared" si="0"/>
        <v>0</v>
      </c>
      <c r="R50" s="152">
        <f t="shared" si="1"/>
        <v>0</v>
      </c>
      <c r="S50" s="152">
        <f t="shared" si="2"/>
        <v>0</v>
      </c>
      <c r="T50" s="18">
        <f t="shared" si="4"/>
        <v>0</v>
      </c>
    </row>
    <row r="51" spans="2:20" x14ac:dyDescent="0.25">
      <c r="B51" s="117" t="s">
        <v>98</v>
      </c>
      <c r="C51" s="136" t="s">
        <v>99</v>
      </c>
      <c r="D51" s="14" t="s">
        <v>15</v>
      </c>
      <c r="E51" s="14" t="s">
        <v>16</v>
      </c>
      <c r="F51" s="15">
        <v>44001</v>
      </c>
      <c r="G51" s="16">
        <v>3.3</v>
      </c>
      <c r="H51" s="15"/>
      <c r="I51" s="16"/>
      <c r="J51" s="15"/>
      <c r="K51" s="16"/>
      <c r="L51" s="15"/>
      <c r="M51" s="63"/>
      <c r="N51" s="17"/>
      <c r="O51" s="16"/>
      <c r="P51" s="16"/>
      <c r="Q51" s="152">
        <f t="shared" si="0"/>
        <v>0</v>
      </c>
      <c r="R51" s="152">
        <f t="shared" si="1"/>
        <v>3.3</v>
      </c>
      <c r="S51" s="152">
        <f t="shared" si="2"/>
        <v>3.3</v>
      </c>
      <c r="T51" s="18">
        <f t="shared" si="4"/>
        <v>3.3</v>
      </c>
    </row>
    <row r="52" spans="2:20" x14ac:dyDescent="0.25">
      <c r="B52" s="117" t="s">
        <v>100</v>
      </c>
      <c r="C52" s="136" t="s">
        <v>101</v>
      </c>
      <c r="D52" s="14" t="s">
        <v>15</v>
      </c>
      <c r="E52" s="14" t="s">
        <v>16</v>
      </c>
      <c r="F52" s="15">
        <v>43950</v>
      </c>
      <c r="G52" s="16">
        <v>2.8</v>
      </c>
      <c r="H52" s="15"/>
      <c r="I52" s="16"/>
      <c r="J52" s="15"/>
      <c r="K52" s="16"/>
      <c r="L52" s="15"/>
      <c r="M52" s="63"/>
      <c r="N52" s="17"/>
      <c r="O52" s="16"/>
      <c r="P52" s="16"/>
      <c r="Q52" s="152">
        <f t="shared" si="0"/>
        <v>0</v>
      </c>
      <c r="R52" s="152">
        <f t="shared" si="1"/>
        <v>2.8</v>
      </c>
      <c r="S52" s="152">
        <f t="shared" si="2"/>
        <v>2.8</v>
      </c>
      <c r="T52" s="18">
        <f t="shared" si="4"/>
        <v>2.8</v>
      </c>
    </row>
    <row r="53" spans="2:20" x14ac:dyDescent="0.25">
      <c r="B53" s="117" t="s">
        <v>102</v>
      </c>
      <c r="C53" s="136" t="s">
        <v>103</v>
      </c>
      <c r="D53" s="14" t="s">
        <v>27</v>
      </c>
      <c r="E53" s="14" t="s">
        <v>16</v>
      </c>
      <c r="F53" s="15">
        <v>43957</v>
      </c>
      <c r="G53" s="16">
        <v>0.86</v>
      </c>
      <c r="H53" s="15">
        <v>44181</v>
      </c>
      <c r="I53" s="16">
        <v>1.68</v>
      </c>
      <c r="J53" s="15"/>
      <c r="K53" s="16"/>
      <c r="L53" s="15"/>
      <c r="M53" s="63"/>
      <c r="N53" s="17"/>
      <c r="O53" s="16"/>
      <c r="P53" s="16"/>
      <c r="Q53" s="152">
        <f t="shared" si="0"/>
        <v>0</v>
      </c>
      <c r="R53" s="152">
        <f t="shared" si="1"/>
        <v>0.86</v>
      </c>
      <c r="S53" s="152">
        <f t="shared" si="2"/>
        <v>0.86</v>
      </c>
      <c r="T53" s="18">
        <f t="shared" si="4"/>
        <v>2.54</v>
      </c>
    </row>
    <row r="54" spans="2:20" x14ac:dyDescent="0.25">
      <c r="B54" s="117" t="s">
        <v>104</v>
      </c>
      <c r="C54" s="136" t="s">
        <v>105</v>
      </c>
      <c r="D54" s="14" t="s">
        <v>27</v>
      </c>
      <c r="E54" s="14" t="s">
        <v>16</v>
      </c>
      <c r="F54" s="15">
        <v>43965</v>
      </c>
      <c r="G54" s="16">
        <v>0.35</v>
      </c>
      <c r="H54" s="15"/>
      <c r="I54" s="16"/>
      <c r="J54" s="15"/>
      <c r="K54" s="16"/>
      <c r="L54" s="15"/>
      <c r="M54" s="16"/>
      <c r="N54" s="17"/>
      <c r="O54" s="16"/>
      <c r="P54" s="16"/>
      <c r="Q54" s="152">
        <f t="shared" si="0"/>
        <v>0</v>
      </c>
      <c r="R54" s="152">
        <f t="shared" si="1"/>
        <v>0.35</v>
      </c>
      <c r="S54" s="152">
        <f t="shared" si="2"/>
        <v>0.35</v>
      </c>
      <c r="T54" s="18">
        <f t="shared" si="4"/>
        <v>0.35</v>
      </c>
    </row>
    <row r="55" spans="2:20" x14ac:dyDescent="0.25">
      <c r="B55" s="117" t="s">
        <v>638</v>
      </c>
      <c r="C55" s="136" t="s">
        <v>107</v>
      </c>
      <c r="D55" s="14" t="s">
        <v>15</v>
      </c>
      <c r="E55" s="14" t="s">
        <v>56</v>
      </c>
      <c r="F55" s="15">
        <v>43895</v>
      </c>
      <c r="G55" s="16">
        <v>0.65</v>
      </c>
      <c r="H55" s="15">
        <v>44077</v>
      </c>
      <c r="I55" s="16">
        <v>0.55000000000000004</v>
      </c>
      <c r="J55" s="15"/>
      <c r="K55" s="16"/>
      <c r="L55" s="15"/>
      <c r="M55" s="16"/>
      <c r="N55" s="17"/>
      <c r="O55" s="16"/>
      <c r="P55" s="16"/>
      <c r="Q55" s="152">
        <f t="shared" si="0"/>
        <v>0.65</v>
      </c>
      <c r="R55" s="152">
        <f t="shared" si="1"/>
        <v>0.65</v>
      </c>
      <c r="S55" s="152">
        <f t="shared" si="2"/>
        <v>1.2000000000000002</v>
      </c>
      <c r="T55" s="18">
        <f t="shared" si="4"/>
        <v>1.2000000000000002</v>
      </c>
    </row>
    <row r="56" spans="2:20" x14ac:dyDescent="0.25">
      <c r="B56" s="117" t="s">
        <v>108</v>
      </c>
      <c r="C56" s="136" t="s">
        <v>109</v>
      </c>
      <c r="D56" s="14" t="s">
        <v>15</v>
      </c>
      <c r="E56" s="14" t="s">
        <v>16</v>
      </c>
      <c r="F56" s="15">
        <v>43966</v>
      </c>
      <c r="G56" s="16">
        <v>2.5</v>
      </c>
      <c r="H56" s="15"/>
      <c r="I56" s="16"/>
      <c r="J56" s="15"/>
      <c r="K56" s="16"/>
      <c r="L56" s="15"/>
      <c r="M56" s="63"/>
      <c r="N56" s="17"/>
      <c r="O56" s="16"/>
      <c r="P56" s="16"/>
      <c r="Q56" s="152">
        <f t="shared" si="0"/>
        <v>0</v>
      </c>
      <c r="R56" s="152">
        <f t="shared" si="1"/>
        <v>2.5</v>
      </c>
      <c r="S56" s="152">
        <f t="shared" si="2"/>
        <v>2.5</v>
      </c>
      <c r="T56" s="18">
        <f t="shared" si="4"/>
        <v>2.5</v>
      </c>
    </row>
    <row r="57" spans="2:20" x14ac:dyDescent="0.25">
      <c r="B57" s="117" t="s">
        <v>110</v>
      </c>
      <c r="C57" s="136" t="s">
        <v>111</v>
      </c>
      <c r="D57" s="14" t="s">
        <v>24</v>
      </c>
      <c r="E57" s="14" t="s">
        <v>16</v>
      </c>
      <c r="F57" s="15"/>
      <c r="G57" s="16"/>
      <c r="H57" s="15"/>
      <c r="I57" s="16"/>
      <c r="J57" s="15"/>
      <c r="K57" s="16"/>
      <c r="L57" s="15"/>
      <c r="M57" s="16"/>
      <c r="N57" s="17"/>
      <c r="O57" s="16"/>
      <c r="P57" s="16"/>
      <c r="Q57" s="152">
        <f t="shared" si="0"/>
        <v>0</v>
      </c>
      <c r="R57" s="152">
        <f t="shared" si="1"/>
        <v>0</v>
      </c>
      <c r="S57" s="152">
        <f t="shared" si="2"/>
        <v>0</v>
      </c>
      <c r="T57" s="18">
        <f t="shared" si="4"/>
        <v>0</v>
      </c>
    </row>
    <row r="58" spans="2:20" x14ac:dyDescent="0.25">
      <c r="B58" s="117" t="s">
        <v>114</v>
      </c>
      <c r="C58" s="136" t="s">
        <v>115</v>
      </c>
      <c r="D58" s="14" t="s">
        <v>24</v>
      </c>
      <c r="E58" s="14" t="s">
        <v>16</v>
      </c>
      <c r="F58" s="15">
        <v>43986</v>
      </c>
      <c r="G58" s="16">
        <v>0.04</v>
      </c>
      <c r="H58" s="15">
        <v>44076</v>
      </c>
      <c r="I58" s="16">
        <v>0.02</v>
      </c>
      <c r="J58" s="15"/>
      <c r="K58" s="16"/>
      <c r="L58" s="15"/>
      <c r="M58" s="63"/>
      <c r="N58" s="17"/>
      <c r="O58" s="16"/>
      <c r="P58" s="16"/>
      <c r="Q58" s="152">
        <f t="shared" si="0"/>
        <v>0</v>
      </c>
      <c r="R58" s="152">
        <f t="shared" si="1"/>
        <v>0.04</v>
      </c>
      <c r="S58" s="152">
        <f t="shared" si="2"/>
        <v>0.06</v>
      </c>
      <c r="T58" s="18">
        <f t="shared" si="4"/>
        <v>0.06</v>
      </c>
    </row>
    <row r="59" spans="2:20" x14ac:dyDescent="0.25">
      <c r="B59" s="117" t="s">
        <v>118</v>
      </c>
      <c r="C59" s="136" t="s">
        <v>119</v>
      </c>
      <c r="D59" s="14" t="s">
        <v>15</v>
      </c>
      <c r="E59" s="14" t="s">
        <v>16</v>
      </c>
      <c r="F59" s="15"/>
      <c r="G59" s="16"/>
      <c r="H59" s="15"/>
      <c r="I59" s="16"/>
      <c r="J59" s="15"/>
      <c r="K59" s="16"/>
      <c r="L59" s="15"/>
      <c r="M59" s="63"/>
      <c r="N59" s="17"/>
      <c r="O59" s="16"/>
      <c r="P59" s="16"/>
      <c r="Q59" s="152">
        <f t="shared" si="0"/>
        <v>0</v>
      </c>
      <c r="R59" s="152">
        <f t="shared" si="1"/>
        <v>0</v>
      </c>
      <c r="S59" s="152">
        <f t="shared" si="2"/>
        <v>0</v>
      </c>
      <c r="T59" s="18">
        <f t="shared" si="4"/>
        <v>0</v>
      </c>
    </row>
    <row r="60" spans="2:20" x14ac:dyDescent="0.25">
      <c r="B60" s="117" t="s">
        <v>120</v>
      </c>
      <c r="C60" s="136" t="s">
        <v>121</v>
      </c>
      <c r="D60" s="14" t="s">
        <v>24</v>
      </c>
      <c r="E60" s="14" t="s">
        <v>16</v>
      </c>
      <c r="F60" s="15">
        <v>44083</v>
      </c>
      <c r="G60" s="16">
        <v>1.7</v>
      </c>
      <c r="H60" s="15"/>
      <c r="I60" s="16"/>
      <c r="J60" s="15"/>
      <c r="K60" s="16"/>
      <c r="L60" s="15"/>
      <c r="M60" s="63"/>
      <c r="N60" s="17"/>
      <c r="O60" s="16"/>
      <c r="P60" s="16"/>
      <c r="Q60" s="152">
        <f t="shared" si="0"/>
        <v>0</v>
      </c>
      <c r="R60" s="152">
        <f t="shared" si="1"/>
        <v>0</v>
      </c>
      <c r="S60" s="152">
        <f t="shared" si="2"/>
        <v>1.7</v>
      </c>
      <c r="T60" s="18">
        <f t="shared" si="4"/>
        <v>1.7</v>
      </c>
    </row>
    <row r="61" spans="2:20" x14ac:dyDescent="0.25">
      <c r="B61" s="117" t="s">
        <v>122</v>
      </c>
      <c r="C61" s="136" t="s">
        <v>123</v>
      </c>
      <c r="D61" s="14" t="s">
        <v>15</v>
      </c>
      <c r="E61" s="14" t="s">
        <v>77</v>
      </c>
      <c r="F61" s="15">
        <v>43874</v>
      </c>
      <c r="G61" s="16">
        <v>8.1557999999999993</v>
      </c>
      <c r="H61" s="15">
        <v>43958</v>
      </c>
      <c r="I61" s="16">
        <v>8.3421000000000003</v>
      </c>
      <c r="J61" s="15">
        <v>44056</v>
      </c>
      <c r="K61" s="16">
        <v>4.0433000000000003</v>
      </c>
      <c r="L61" s="15">
        <v>44140</v>
      </c>
      <c r="M61" s="63">
        <f>0.0525/1.1721*0.89954*100</f>
        <v>4.0291656002047604</v>
      </c>
      <c r="N61" s="17"/>
      <c r="O61" s="16"/>
      <c r="P61" s="16"/>
      <c r="Q61" s="152">
        <f t="shared" si="0"/>
        <v>8.1557999999999993</v>
      </c>
      <c r="R61" s="152">
        <f t="shared" si="1"/>
        <v>16.497900000000001</v>
      </c>
      <c r="S61" s="152">
        <f t="shared" si="2"/>
        <v>20.541200000000003</v>
      </c>
      <c r="T61" s="18">
        <f t="shared" si="4"/>
        <v>24.570365600204763</v>
      </c>
    </row>
    <row r="62" spans="2:20" x14ac:dyDescent="0.25">
      <c r="B62" s="117" t="s">
        <v>124</v>
      </c>
      <c r="C62" s="136" t="s">
        <v>125</v>
      </c>
      <c r="D62" s="14" t="s">
        <v>15</v>
      </c>
      <c r="E62" s="14" t="s">
        <v>16</v>
      </c>
      <c r="F62" s="15"/>
      <c r="G62" s="16"/>
      <c r="H62" s="15"/>
      <c r="I62" s="16"/>
      <c r="J62" s="15"/>
      <c r="K62" s="16"/>
      <c r="L62" s="15"/>
      <c r="M62" s="63"/>
      <c r="N62" s="17"/>
      <c r="O62" s="16"/>
      <c r="P62" s="16"/>
      <c r="Q62" s="152">
        <f t="shared" si="0"/>
        <v>0</v>
      </c>
      <c r="R62" s="152">
        <f t="shared" si="1"/>
        <v>0</v>
      </c>
      <c r="S62" s="152">
        <f t="shared" si="2"/>
        <v>0</v>
      </c>
      <c r="T62" s="18">
        <f t="shared" si="4"/>
        <v>0</v>
      </c>
    </row>
    <row r="63" spans="2:20" x14ac:dyDescent="0.25">
      <c r="B63" s="117" t="s">
        <v>126</v>
      </c>
      <c r="C63" s="136" t="s">
        <v>127</v>
      </c>
      <c r="D63" s="14" t="s">
        <v>27</v>
      </c>
      <c r="E63" s="14" t="s">
        <v>16</v>
      </c>
      <c r="F63" s="15"/>
      <c r="G63" s="16"/>
      <c r="H63" s="15"/>
      <c r="I63" s="16"/>
      <c r="J63" s="15"/>
      <c r="K63" s="16"/>
      <c r="L63" s="15"/>
      <c r="M63" s="63"/>
      <c r="N63" s="17"/>
      <c r="O63" s="16"/>
      <c r="P63" s="16"/>
      <c r="Q63" s="152">
        <f t="shared" si="0"/>
        <v>0</v>
      </c>
      <c r="R63" s="152">
        <f t="shared" si="1"/>
        <v>0</v>
      </c>
      <c r="S63" s="152">
        <f t="shared" si="2"/>
        <v>0</v>
      </c>
      <c r="T63" s="18">
        <f t="shared" si="4"/>
        <v>0</v>
      </c>
    </row>
    <row r="64" spans="2:20" x14ac:dyDescent="0.25">
      <c r="B64" s="117" t="s">
        <v>128</v>
      </c>
      <c r="C64" s="136" t="s">
        <v>129</v>
      </c>
      <c r="D64" s="14" t="s">
        <v>15</v>
      </c>
      <c r="E64" s="14" t="s">
        <v>77</v>
      </c>
      <c r="F64" s="15">
        <v>43823</v>
      </c>
      <c r="G64" s="16">
        <v>50.75</v>
      </c>
      <c r="H64" s="15">
        <v>43916</v>
      </c>
      <c r="I64" s="16">
        <v>52.6</v>
      </c>
      <c r="J64" s="15">
        <v>44021</v>
      </c>
      <c r="K64" s="16">
        <v>52.6</v>
      </c>
      <c r="L64" s="15">
        <v>44105</v>
      </c>
      <c r="M64" s="63">
        <v>52.6</v>
      </c>
      <c r="N64" s="17">
        <v>44182</v>
      </c>
      <c r="O64" s="16">
        <v>52.6</v>
      </c>
      <c r="P64" s="16"/>
      <c r="Q64" s="152">
        <f t="shared" si="0"/>
        <v>50.75</v>
      </c>
      <c r="R64" s="152">
        <f t="shared" si="1"/>
        <v>103.35</v>
      </c>
      <c r="S64" s="152">
        <f t="shared" si="2"/>
        <v>155.94999999999999</v>
      </c>
      <c r="T64" s="18">
        <f t="shared" si="4"/>
        <v>261.14999999999998</v>
      </c>
    </row>
    <row r="65" spans="1:21" x14ac:dyDescent="0.25">
      <c r="B65" s="117" t="s">
        <v>130</v>
      </c>
      <c r="C65" s="136" t="s">
        <v>131</v>
      </c>
      <c r="D65" s="14" t="s">
        <v>15</v>
      </c>
      <c r="E65" s="14" t="s">
        <v>77</v>
      </c>
      <c r="F65" s="15">
        <v>43823</v>
      </c>
      <c r="G65" s="16">
        <v>4.62</v>
      </c>
      <c r="H65" s="15"/>
      <c r="I65" s="16"/>
      <c r="J65" s="15"/>
      <c r="K65" s="16"/>
      <c r="L65" s="15"/>
      <c r="M65" s="63"/>
      <c r="N65" s="17"/>
      <c r="O65" s="16"/>
      <c r="P65" s="16"/>
      <c r="Q65" s="152">
        <f t="shared" si="0"/>
        <v>4.62</v>
      </c>
      <c r="R65" s="152">
        <f t="shared" si="1"/>
        <v>4.62</v>
      </c>
      <c r="S65" s="152">
        <f t="shared" si="2"/>
        <v>4.62</v>
      </c>
      <c r="T65" s="18">
        <f t="shared" si="4"/>
        <v>4.62</v>
      </c>
    </row>
    <row r="66" spans="1:21" x14ac:dyDescent="0.25">
      <c r="B66" s="117" t="s">
        <v>132</v>
      </c>
      <c r="C66" s="136" t="s">
        <v>133</v>
      </c>
      <c r="D66" s="14" t="s">
        <v>15</v>
      </c>
      <c r="E66" s="14" t="s">
        <v>16</v>
      </c>
      <c r="F66" s="15">
        <v>43930</v>
      </c>
      <c r="G66" s="16">
        <v>7.0000000000000007E-2</v>
      </c>
      <c r="H66" s="15"/>
      <c r="I66" s="16"/>
      <c r="J66" s="15"/>
      <c r="K66" s="16"/>
      <c r="L66" s="15"/>
      <c r="M66" s="63"/>
      <c r="N66" s="17"/>
      <c r="O66" s="16"/>
      <c r="P66" s="16"/>
      <c r="Q66" s="152">
        <f t="shared" si="0"/>
        <v>0</v>
      </c>
      <c r="R66" s="152">
        <f t="shared" si="1"/>
        <v>7.0000000000000007E-2</v>
      </c>
      <c r="S66" s="152">
        <f t="shared" si="2"/>
        <v>7.0000000000000007E-2</v>
      </c>
      <c r="T66" s="18">
        <f t="shared" si="4"/>
        <v>7.0000000000000007E-2</v>
      </c>
    </row>
    <row r="67" spans="1:21" x14ac:dyDescent="0.25">
      <c r="B67" s="117" t="s">
        <v>608</v>
      </c>
      <c r="C67" s="136" t="s">
        <v>134</v>
      </c>
      <c r="D67" s="14" t="s">
        <v>24</v>
      </c>
      <c r="E67" s="14" t="s">
        <v>16</v>
      </c>
      <c r="F67" s="15">
        <v>43985</v>
      </c>
      <c r="G67" s="16">
        <v>1.35</v>
      </c>
      <c r="H67" s="15"/>
      <c r="I67" s="16"/>
      <c r="J67" s="15"/>
      <c r="K67" s="16"/>
      <c r="L67" s="15"/>
      <c r="M67" s="63"/>
      <c r="N67" s="17"/>
      <c r="O67" s="16"/>
      <c r="P67" s="16"/>
      <c r="Q67" s="152">
        <f t="shared" si="0"/>
        <v>0</v>
      </c>
      <c r="R67" s="152">
        <f t="shared" si="1"/>
        <v>1.35</v>
      </c>
      <c r="S67" s="152">
        <f t="shared" si="2"/>
        <v>1.35</v>
      </c>
      <c r="T67" s="18">
        <f t="shared" si="4"/>
        <v>1.35</v>
      </c>
    </row>
    <row r="68" spans="1:21" x14ac:dyDescent="0.25">
      <c r="B68" s="117" t="s">
        <v>135</v>
      </c>
      <c r="C68" s="136" t="s">
        <v>136</v>
      </c>
      <c r="D68" s="14" t="s">
        <v>24</v>
      </c>
      <c r="E68" s="14" t="s">
        <v>16</v>
      </c>
      <c r="F68" s="15">
        <v>43990</v>
      </c>
      <c r="G68" s="16">
        <v>0.23</v>
      </c>
      <c r="H68" s="15"/>
      <c r="I68" s="16"/>
      <c r="J68" s="15"/>
      <c r="K68" s="16"/>
      <c r="L68" s="15"/>
      <c r="M68" s="63"/>
      <c r="N68" s="17"/>
      <c r="O68" s="16"/>
      <c r="P68" s="16"/>
      <c r="Q68" s="152">
        <f t="shared" si="0"/>
        <v>0</v>
      </c>
      <c r="R68" s="152">
        <f t="shared" si="1"/>
        <v>0.23</v>
      </c>
      <c r="S68" s="152">
        <f t="shared" si="2"/>
        <v>0.23</v>
      </c>
      <c r="T68" s="18">
        <f t="shared" si="4"/>
        <v>0.23</v>
      </c>
    </row>
    <row r="69" spans="1:21" x14ac:dyDescent="0.25">
      <c r="B69" s="117" t="s">
        <v>137</v>
      </c>
      <c r="C69" s="136" t="s">
        <v>138</v>
      </c>
      <c r="D69" s="14" t="s">
        <v>24</v>
      </c>
      <c r="E69" s="14" t="s">
        <v>16</v>
      </c>
      <c r="F69" s="15"/>
      <c r="G69" s="16"/>
      <c r="H69" s="15"/>
      <c r="I69" s="16"/>
      <c r="J69" s="15"/>
      <c r="K69" s="16"/>
      <c r="L69" s="15"/>
      <c r="M69" s="63"/>
      <c r="N69" s="17"/>
      <c r="O69" s="16"/>
      <c r="P69" s="16"/>
      <c r="Q69" s="152">
        <f t="shared" si="0"/>
        <v>0</v>
      </c>
      <c r="R69" s="152">
        <f t="shared" si="1"/>
        <v>0</v>
      </c>
      <c r="S69" s="152">
        <f t="shared" si="2"/>
        <v>0</v>
      </c>
      <c r="T69" s="18">
        <f t="shared" si="4"/>
        <v>0</v>
      </c>
    </row>
    <row r="70" spans="1:21" x14ac:dyDescent="0.25">
      <c r="B70" s="117" t="s">
        <v>139</v>
      </c>
      <c r="C70" s="136" t="s">
        <v>140</v>
      </c>
      <c r="D70" s="14" t="s">
        <v>15</v>
      </c>
      <c r="E70" s="14" t="s">
        <v>77</v>
      </c>
      <c r="F70" s="15"/>
      <c r="G70" s="16"/>
      <c r="H70" s="15"/>
      <c r="I70" s="16"/>
      <c r="J70" s="15"/>
      <c r="K70" s="16"/>
      <c r="L70" s="15"/>
      <c r="M70" s="63"/>
      <c r="N70" s="17"/>
      <c r="O70" s="16"/>
      <c r="P70" s="16"/>
      <c r="Q70" s="152">
        <f t="shared" si="0"/>
        <v>0</v>
      </c>
      <c r="R70" s="152">
        <f t="shared" si="1"/>
        <v>0</v>
      </c>
      <c r="S70" s="152">
        <f t="shared" si="2"/>
        <v>0</v>
      </c>
      <c r="T70" s="18">
        <f t="shared" si="4"/>
        <v>0</v>
      </c>
    </row>
    <row r="71" spans="1:21" x14ac:dyDescent="0.25">
      <c r="B71" s="117" t="s">
        <v>725</v>
      </c>
      <c r="C71" s="136" t="s">
        <v>726</v>
      </c>
      <c r="D71" s="14" t="s">
        <v>24</v>
      </c>
      <c r="E71" s="14" t="s">
        <v>16</v>
      </c>
      <c r="F71" s="15"/>
      <c r="G71" s="16"/>
      <c r="H71" s="15"/>
      <c r="I71" s="16"/>
      <c r="J71" s="15"/>
      <c r="K71" s="16"/>
      <c r="L71" s="15"/>
      <c r="M71" s="63"/>
      <c r="N71" s="17"/>
      <c r="O71" s="16"/>
      <c r="P71" s="16"/>
      <c r="Q71" s="152">
        <f t="shared" si="0"/>
        <v>0</v>
      </c>
      <c r="R71" s="152">
        <f t="shared" si="1"/>
        <v>0</v>
      </c>
      <c r="S71" s="152">
        <f t="shared" si="2"/>
        <v>0</v>
      </c>
      <c r="T71" s="18">
        <f t="shared" si="4"/>
        <v>0</v>
      </c>
    </row>
    <row r="72" spans="1:21" x14ac:dyDescent="0.25">
      <c r="B72" s="117" t="s">
        <v>151</v>
      </c>
      <c r="C72" s="136" t="s">
        <v>152</v>
      </c>
      <c r="D72" s="14" t="s">
        <v>15</v>
      </c>
      <c r="E72" s="14" t="s">
        <v>16</v>
      </c>
      <c r="F72" s="15">
        <v>44014</v>
      </c>
      <c r="G72" s="16">
        <v>0.62</v>
      </c>
      <c r="H72" s="15"/>
      <c r="I72" s="16"/>
      <c r="J72" s="15"/>
      <c r="K72" s="16"/>
      <c r="L72" s="15"/>
      <c r="M72" s="63"/>
      <c r="N72" s="17"/>
      <c r="O72" s="16"/>
      <c r="P72" s="16"/>
      <c r="Q72" s="152">
        <f t="shared" si="0"/>
        <v>0</v>
      </c>
      <c r="R72" s="152">
        <f t="shared" si="1"/>
        <v>0</v>
      </c>
      <c r="S72" s="152">
        <f t="shared" si="2"/>
        <v>0.62</v>
      </c>
      <c r="T72" s="18">
        <f t="shared" si="4"/>
        <v>0.62</v>
      </c>
    </row>
    <row r="73" spans="1:21" x14ac:dyDescent="0.25">
      <c r="B73" s="117" t="s">
        <v>153</v>
      </c>
      <c r="C73" s="136" t="s">
        <v>154</v>
      </c>
      <c r="D73" s="14" t="s">
        <v>27</v>
      </c>
      <c r="E73" s="14" t="s">
        <v>16</v>
      </c>
      <c r="F73" s="15">
        <v>44106</v>
      </c>
      <c r="G73" s="16">
        <v>1.35</v>
      </c>
      <c r="H73" s="15"/>
      <c r="I73" s="16"/>
      <c r="J73" s="15"/>
      <c r="K73" s="16"/>
      <c r="L73" s="15"/>
      <c r="M73" s="63"/>
      <c r="N73" s="17"/>
      <c r="O73" s="16"/>
      <c r="P73" s="16"/>
      <c r="Q73" s="152">
        <f t="shared" si="0"/>
        <v>0</v>
      </c>
      <c r="R73" s="152">
        <f t="shared" si="1"/>
        <v>0</v>
      </c>
      <c r="S73" s="152">
        <f t="shared" si="2"/>
        <v>0</v>
      </c>
      <c r="T73" s="18">
        <f t="shared" si="4"/>
        <v>1.35</v>
      </c>
    </row>
    <row r="74" spans="1:21" x14ac:dyDescent="0.25">
      <c r="B74" s="117" t="s">
        <v>156</v>
      </c>
      <c r="C74" s="136" t="s">
        <v>157</v>
      </c>
      <c r="D74" s="14" t="s">
        <v>15</v>
      </c>
      <c r="E74" s="14" t="s">
        <v>21</v>
      </c>
      <c r="F74" s="15">
        <v>44059</v>
      </c>
      <c r="G74" s="16">
        <v>1</v>
      </c>
      <c r="H74" s="15"/>
      <c r="I74" s="16"/>
      <c r="J74" s="15"/>
      <c r="K74" s="16"/>
      <c r="L74" s="15"/>
      <c r="M74" s="63"/>
      <c r="N74" s="17"/>
      <c r="O74" s="16"/>
      <c r="P74" s="16"/>
      <c r="Q74" s="152">
        <f t="shared" si="0"/>
        <v>0</v>
      </c>
      <c r="R74" s="152">
        <f t="shared" si="1"/>
        <v>0</v>
      </c>
      <c r="S74" s="152">
        <f t="shared" si="2"/>
        <v>1</v>
      </c>
      <c r="T74" s="18">
        <f t="shared" si="4"/>
        <v>1</v>
      </c>
    </row>
    <row r="75" spans="1:21" x14ac:dyDescent="0.25">
      <c r="A75" s="33"/>
      <c r="B75" s="117" t="s">
        <v>158</v>
      </c>
      <c r="C75" s="136" t="s">
        <v>159</v>
      </c>
      <c r="D75" s="14" t="s">
        <v>15</v>
      </c>
      <c r="E75" s="14" t="s">
        <v>77</v>
      </c>
      <c r="F75" s="15">
        <v>43846</v>
      </c>
      <c r="G75" s="16">
        <v>26.9</v>
      </c>
      <c r="H75" s="15"/>
      <c r="I75" s="16"/>
      <c r="J75" s="15"/>
      <c r="K75" s="16"/>
      <c r="L75" s="15"/>
      <c r="M75" s="63"/>
      <c r="N75" s="17"/>
      <c r="O75" s="16"/>
      <c r="P75" s="16"/>
      <c r="Q75" s="152">
        <f t="shared" si="0"/>
        <v>26.9</v>
      </c>
      <c r="R75" s="152">
        <f t="shared" si="1"/>
        <v>26.9</v>
      </c>
      <c r="S75" s="152">
        <f t="shared" si="2"/>
        <v>26.9</v>
      </c>
      <c r="T75" s="18">
        <f t="shared" si="4"/>
        <v>26.9</v>
      </c>
      <c r="U75" s="36"/>
    </row>
    <row r="76" spans="1:21" x14ac:dyDescent="0.25">
      <c r="A76" s="33"/>
      <c r="B76" s="117" t="s">
        <v>162</v>
      </c>
      <c r="C76" s="136" t="s">
        <v>163</v>
      </c>
      <c r="D76" s="14" t="s">
        <v>15</v>
      </c>
      <c r="E76" s="14" t="s">
        <v>16</v>
      </c>
      <c r="F76" s="15">
        <v>44027</v>
      </c>
      <c r="G76" s="16">
        <v>3</v>
      </c>
      <c r="H76" s="15"/>
      <c r="I76" s="16"/>
      <c r="J76" s="15"/>
      <c r="K76" s="16"/>
      <c r="L76" s="15"/>
      <c r="M76" s="63"/>
      <c r="N76" s="17"/>
      <c r="O76" s="16"/>
      <c r="P76" s="16"/>
      <c r="Q76" s="152">
        <f t="shared" si="0"/>
        <v>0</v>
      </c>
      <c r="R76" s="152">
        <f t="shared" si="1"/>
        <v>0</v>
      </c>
      <c r="S76" s="152">
        <f t="shared" si="2"/>
        <v>3</v>
      </c>
      <c r="T76" s="18">
        <f t="shared" si="4"/>
        <v>3</v>
      </c>
      <c r="U76" s="36"/>
    </row>
    <row r="77" spans="1:21" x14ac:dyDescent="0.25">
      <c r="B77" s="117" t="s">
        <v>164</v>
      </c>
      <c r="C77" s="136" t="s">
        <v>165</v>
      </c>
      <c r="D77" s="14" t="s">
        <v>24</v>
      </c>
      <c r="E77" s="14" t="s">
        <v>16</v>
      </c>
      <c r="F77" s="15"/>
      <c r="G77" s="16"/>
      <c r="H77" s="15"/>
      <c r="I77" s="16"/>
      <c r="J77" s="15"/>
      <c r="K77" s="16"/>
      <c r="L77" s="15"/>
      <c r="M77" s="63"/>
      <c r="N77" s="17"/>
      <c r="O77" s="16"/>
      <c r="P77" s="16"/>
      <c r="Q77" s="152">
        <f t="shared" si="0"/>
        <v>0</v>
      </c>
      <c r="R77" s="152">
        <f t="shared" si="1"/>
        <v>0</v>
      </c>
      <c r="S77" s="152">
        <f t="shared" si="2"/>
        <v>0</v>
      </c>
      <c r="T77" s="18">
        <f t="shared" si="4"/>
        <v>0</v>
      </c>
    </row>
    <row r="78" spans="1:21" x14ac:dyDescent="0.25">
      <c r="B78" s="117" t="s">
        <v>166</v>
      </c>
      <c r="C78" s="136" t="s">
        <v>167</v>
      </c>
      <c r="D78" s="14" t="s">
        <v>15</v>
      </c>
      <c r="E78" s="14" t="s">
        <v>21</v>
      </c>
      <c r="F78" s="15">
        <v>43958</v>
      </c>
      <c r="G78" s="16">
        <v>0.13880000000000001</v>
      </c>
      <c r="H78" s="15">
        <v>44168</v>
      </c>
      <c r="I78" s="16">
        <v>0.13880000000000001</v>
      </c>
      <c r="J78" s="15"/>
      <c r="K78" s="16"/>
      <c r="L78" s="15"/>
      <c r="M78" s="63"/>
      <c r="N78" s="17"/>
      <c r="O78" s="16"/>
      <c r="P78" s="16"/>
      <c r="Q78" s="152">
        <f t="shared" ref="Q78:Q141" si="5">IF(F78&lt;=Exp20Q1,G78,0)+IF(H78&lt;=Exp20Q1,I78,0)+IF(J78&lt;=Exp20Q1,K78,0)+IF(L78&lt;=Exp20Q1,M78,0)+IF(N78&lt;=Exp20Q1,O78,0)</f>
        <v>0</v>
      </c>
      <c r="R78" s="152">
        <f t="shared" ref="R78:R141" si="6">IF(F78&lt;=Exp20H1,G78,0)+IF(H78&lt;=Exp20H1,I78,0)+IF(J78&lt;=Exp20H1,K78,0)+IF(L78&lt;=Exp20H1,M78,0)+IF(N78&lt;=Exp20H1,O78,0)</f>
        <v>0.13880000000000001</v>
      </c>
      <c r="S78" s="152">
        <f t="shared" ref="S78:S141" si="7">IF(F78&lt;=Exp20Q3,G78,0)+IF(H78&lt;=Exp20Q3,I78,0)+IF(J78&lt;=Exp20Q3,K78,0)+IF(L78&lt;=Exp20Q3,M78,0)+IF(N78&lt;=Exp20Q3,O78,0)</f>
        <v>0.13880000000000001</v>
      </c>
      <c r="T78" s="18">
        <f t="shared" si="4"/>
        <v>0.27760000000000001</v>
      </c>
    </row>
    <row r="79" spans="1:21" x14ac:dyDescent="0.25">
      <c r="B79" s="117" t="s">
        <v>168</v>
      </c>
      <c r="C79" s="136" t="s">
        <v>169</v>
      </c>
      <c r="D79" s="14" t="s">
        <v>15</v>
      </c>
      <c r="E79" s="14" t="s">
        <v>16</v>
      </c>
      <c r="F79" s="15">
        <v>43902</v>
      </c>
      <c r="G79" s="16">
        <v>0.63</v>
      </c>
      <c r="H79" s="15">
        <v>44077</v>
      </c>
      <c r="I79" s="16">
        <f>0.22/1.1861</f>
        <v>0.18548183121153361</v>
      </c>
      <c r="J79" s="15"/>
      <c r="K79" s="16"/>
      <c r="L79" s="15"/>
      <c r="M79" s="63"/>
      <c r="N79" s="17"/>
      <c r="O79" s="16"/>
      <c r="P79" s="16"/>
      <c r="Q79" s="152">
        <f t="shared" si="5"/>
        <v>0.63</v>
      </c>
      <c r="R79" s="152">
        <f t="shared" si="6"/>
        <v>0.63</v>
      </c>
      <c r="S79" s="152">
        <f t="shared" si="7"/>
        <v>0.81548183121153361</v>
      </c>
      <c r="T79" s="18">
        <f t="shared" ref="T79:T142" si="8">G79+I79+K79+M79+O79</f>
        <v>0.81548183121153361</v>
      </c>
    </row>
    <row r="80" spans="1:21" x14ac:dyDescent="0.25">
      <c r="B80" s="117" t="s">
        <v>170</v>
      </c>
      <c r="C80" s="136" t="s">
        <v>171</v>
      </c>
      <c r="D80" s="14" t="s">
        <v>15</v>
      </c>
      <c r="E80" s="14" t="s">
        <v>16</v>
      </c>
      <c r="F80" s="15">
        <v>44021</v>
      </c>
      <c r="G80" s="16">
        <v>0.9</v>
      </c>
      <c r="H80" s="15"/>
      <c r="I80" s="16"/>
      <c r="J80" s="15"/>
      <c r="K80" s="16"/>
      <c r="L80" s="15"/>
      <c r="M80" s="63"/>
      <c r="N80" s="17"/>
      <c r="O80" s="16"/>
      <c r="P80" s="16"/>
      <c r="Q80" s="152">
        <f t="shared" si="5"/>
        <v>0</v>
      </c>
      <c r="R80" s="152">
        <f t="shared" si="6"/>
        <v>0</v>
      </c>
      <c r="S80" s="152">
        <f t="shared" si="7"/>
        <v>0.9</v>
      </c>
      <c r="T80" s="18">
        <f t="shared" si="8"/>
        <v>0.9</v>
      </c>
    </row>
    <row r="81" spans="2:20" x14ac:dyDescent="0.25">
      <c r="B81" s="117" t="s">
        <v>172</v>
      </c>
      <c r="C81" s="136" t="s">
        <v>173</v>
      </c>
      <c r="D81" s="14" t="s">
        <v>24</v>
      </c>
      <c r="E81" s="14" t="s">
        <v>16</v>
      </c>
      <c r="F81" s="15">
        <v>44026</v>
      </c>
      <c r="G81" s="16">
        <v>2.1</v>
      </c>
      <c r="H81" s="15"/>
      <c r="I81" s="16"/>
      <c r="J81" s="15"/>
      <c r="K81" s="16"/>
      <c r="L81" s="15"/>
      <c r="M81" s="63"/>
      <c r="N81" s="17"/>
      <c r="O81" s="16"/>
      <c r="P81" s="16"/>
      <c r="Q81" s="152">
        <f t="shared" si="5"/>
        <v>0</v>
      </c>
      <c r="R81" s="152">
        <f t="shared" si="6"/>
        <v>0</v>
      </c>
      <c r="S81" s="152">
        <f t="shared" si="7"/>
        <v>2.1</v>
      </c>
      <c r="T81" s="18">
        <f t="shared" si="8"/>
        <v>2.1</v>
      </c>
    </row>
    <row r="82" spans="2:20" x14ac:dyDescent="0.25">
      <c r="B82" s="117" t="s">
        <v>174</v>
      </c>
      <c r="C82" s="136" t="s">
        <v>175</v>
      </c>
      <c r="D82" s="14" t="s">
        <v>15</v>
      </c>
      <c r="E82" s="14" t="s">
        <v>16</v>
      </c>
      <c r="F82" s="15"/>
      <c r="G82" s="16"/>
      <c r="H82" s="15"/>
      <c r="I82" s="16"/>
      <c r="J82" s="15"/>
      <c r="K82" s="16"/>
      <c r="L82" s="15"/>
      <c r="M82" s="63"/>
      <c r="N82" s="17"/>
      <c r="O82" s="16"/>
      <c r="P82" s="16"/>
      <c r="Q82" s="152">
        <f t="shared" si="5"/>
        <v>0</v>
      </c>
      <c r="R82" s="152">
        <f t="shared" si="6"/>
        <v>0</v>
      </c>
      <c r="S82" s="152">
        <f t="shared" si="7"/>
        <v>0</v>
      </c>
      <c r="T82" s="18">
        <f t="shared" si="8"/>
        <v>0</v>
      </c>
    </row>
    <row r="83" spans="2:20" x14ac:dyDescent="0.25">
      <c r="B83" s="117" t="s">
        <v>176</v>
      </c>
      <c r="C83" s="136" t="s">
        <v>177</v>
      </c>
      <c r="D83" s="14" t="s">
        <v>15</v>
      </c>
      <c r="E83" s="14" t="s">
        <v>16</v>
      </c>
      <c r="F83" s="15">
        <v>43971</v>
      </c>
      <c r="G83" s="16">
        <v>2.9</v>
      </c>
      <c r="H83" s="15"/>
      <c r="I83" s="16"/>
      <c r="J83" s="15"/>
      <c r="K83" s="16"/>
      <c r="L83" s="15"/>
      <c r="M83" s="63"/>
      <c r="N83" s="17"/>
      <c r="O83" s="16"/>
      <c r="P83" s="16"/>
      <c r="Q83" s="152">
        <f t="shared" si="5"/>
        <v>0</v>
      </c>
      <c r="R83" s="152">
        <f t="shared" si="6"/>
        <v>2.9</v>
      </c>
      <c r="S83" s="152">
        <f t="shared" si="7"/>
        <v>2.9</v>
      </c>
      <c r="T83" s="18">
        <f t="shared" si="8"/>
        <v>2.9</v>
      </c>
    </row>
    <row r="84" spans="2:20" x14ac:dyDescent="0.25">
      <c r="B84" s="117" t="s">
        <v>178</v>
      </c>
      <c r="C84" s="136" t="s">
        <v>179</v>
      </c>
      <c r="D84" s="14" t="s">
        <v>15</v>
      </c>
      <c r="E84" s="14" t="s">
        <v>16</v>
      </c>
      <c r="F84" s="15"/>
      <c r="G84" s="16"/>
      <c r="H84" s="15"/>
      <c r="I84" s="16"/>
      <c r="J84" s="15"/>
      <c r="K84" s="16"/>
      <c r="L84" s="15"/>
      <c r="M84" s="63"/>
      <c r="N84" s="17"/>
      <c r="O84" s="16"/>
      <c r="P84" s="16"/>
      <c r="Q84" s="152">
        <f t="shared" si="5"/>
        <v>0</v>
      </c>
      <c r="R84" s="152">
        <f t="shared" si="6"/>
        <v>0</v>
      </c>
      <c r="S84" s="152">
        <f t="shared" si="7"/>
        <v>0</v>
      </c>
      <c r="T84" s="18">
        <f t="shared" si="8"/>
        <v>0</v>
      </c>
    </row>
    <row r="85" spans="2:20" x14ac:dyDescent="0.25">
      <c r="B85" s="117" t="s">
        <v>180</v>
      </c>
      <c r="C85" s="136" t="s">
        <v>181</v>
      </c>
      <c r="D85" s="14" t="s">
        <v>15</v>
      </c>
      <c r="E85" s="14" t="s">
        <v>16</v>
      </c>
      <c r="F85" s="15">
        <v>44071</v>
      </c>
      <c r="G85" s="16">
        <v>1.1499999999999999</v>
      </c>
      <c r="H85" s="15"/>
      <c r="I85" s="16"/>
      <c r="J85" s="15"/>
      <c r="K85" s="16"/>
      <c r="L85" s="15"/>
      <c r="M85" s="63"/>
      <c r="N85" s="17"/>
      <c r="O85" s="16"/>
      <c r="P85" s="16"/>
      <c r="Q85" s="152">
        <f t="shared" si="5"/>
        <v>0</v>
      </c>
      <c r="R85" s="152">
        <f t="shared" si="6"/>
        <v>0</v>
      </c>
      <c r="S85" s="152">
        <f t="shared" si="7"/>
        <v>1.1499999999999999</v>
      </c>
      <c r="T85" s="18">
        <f t="shared" si="8"/>
        <v>1.1499999999999999</v>
      </c>
    </row>
    <row r="86" spans="2:20" x14ac:dyDescent="0.25">
      <c r="B86" s="117" t="s">
        <v>182</v>
      </c>
      <c r="C86" s="136" t="s">
        <v>183</v>
      </c>
      <c r="D86" s="14" t="s">
        <v>15</v>
      </c>
      <c r="E86" s="14" t="s">
        <v>16</v>
      </c>
      <c r="F86" s="15">
        <v>44004</v>
      </c>
      <c r="G86" s="16">
        <v>0.6</v>
      </c>
      <c r="H86" s="15"/>
      <c r="I86" s="16"/>
      <c r="J86" s="15"/>
      <c r="K86" s="16"/>
      <c r="L86" s="15"/>
      <c r="M86" s="63"/>
      <c r="N86" s="17"/>
      <c r="O86" s="16"/>
      <c r="P86" s="16"/>
      <c r="Q86" s="152">
        <f t="shared" si="5"/>
        <v>0</v>
      </c>
      <c r="R86" s="152">
        <f t="shared" si="6"/>
        <v>0</v>
      </c>
      <c r="S86" s="152">
        <f t="shared" si="7"/>
        <v>0.6</v>
      </c>
      <c r="T86" s="18">
        <f t="shared" si="8"/>
        <v>0.6</v>
      </c>
    </row>
    <row r="87" spans="2:20" x14ac:dyDescent="0.25">
      <c r="B87" s="117" t="s">
        <v>184</v>
      </c>
      <c r="C87" s="136" t="s">
        <v>185</v>
      </c>
      <c r="D87" s="14" t="s">
        <v>15</v>
      </c>
      <c r="E87" s="14" t="s">
        <v>77</v>
      </c>
      <c r="F87" s="15">
        <v>43888</v>
      </c>
      <c r="G87" s="16">
        <v>27.41</v>
      </c>
      <c r="H87" s="15">
        <v>44056</v>
      </c>
      <c r="I87" s="16">
        <v>42.47</v>
      </c>
      <c r="J87" s="15"/>
      <c r="K87" s="16"/>
      <c r="L87" s="15"/>
      <c r="M87" s="63"/>
      <c r="N87" s="17"/>
      <c r="O87" s="16"/>
      <c r="P87" s="16"/>
      <c r="Q87" s="152">
        <f t="shared" si="5"/>
        <v>27.41</v>
      </c>
      <c r="R87" s="152">
        <f t="shared" si="6"/>
        <v>27.41</v>
      </c>
      <c r="S87" s="152">
        <f t="shared" si="7"/>
        <v>69.88</v>
      </c>
      <c r="T87" s="18">
        <f t="shared" si="8"/>
        <v>69.88</v>
      </c>
    </row>
    <row r="88" spans="2:20" x14ac:dyDescent="0.25">
      <c r="B88" s="117" t="s">
        <v>186</v>
      </c>
      <c r="C88" s="136" t="s">
        <v>187</v>
      </c>
      <c r="D88" s="14" t="s">
        <v>27</v>
      </c>
      <c r="E88" s="14" t="s">
        <v>16</v>
      </c>
      <c r="F88" s="15">
        <v>43985</v>
      </c>
      <c r="G88" s="16">
        <v>1</v>
      </c>
      <c r="H88" s="15"/>
      <c r="I88" s="16"/>
      <c r="J88" s="15"/>
      <c r="K88" s="16"/>
      <c r="L88" s="15"/>
      <c r="M88" s="63"/>
      <c r="N88" s="17"/>
      <c r="O88" s="16"/>
      <c r="P88" s="16"/>
      <c r="Q88" s="152">
        <f t="shared" si="5"/>
        <v>0</v>
      </c>
      <c r="R88" s="152">
        <f t="shared" si="6"/>
        <v>1</v>
      </c>
      <c r="S88" s="152">
        <f t="shared" si="7"/>
        <v>1</v>
      </c>
      <c r="T88" s="18">
        <f t="shared" si="8"/>
        <v>1</v>
      </c>
    </row>
    <row r="89" spans="2:20" x14ac:dyDescent="0.25">
      <c r="B89" s="117" t="s">
        <v>188</v>
      </c>
      <c r="C89" s="136" t="s">
        <v>189</v>
      </c>
      <c r="D89" s="14" t="s">
        <v>15</v>
      </c>
      <c r="E89" s="14" t="s">
        <v>16</v>
      </c>
      <c r="F89" s="15"/>
      <c r="G89" s="16"/>
      <c r="H89" s="15"/>
      <c r="I89" s="16"/>
      <c r="J89" s="15"/>
      <c r="K89" s="16"/>
      <c r="L89" s="15"/>
      <c r="M89" s="63"/>
      <c r="N89" s="17"/>
      <c r="O89" s="16"/>
      <c r="P89" s="16"/>
      <c r="Q89" s="152">
        <f t="shared" si="5"/>
        <v>0</v>
      </c>
      <c r="R89" s="152">
        <f t="shared" si="6"/>
        <v>0</v>
      </c>
      <c r="S89" s="152">
        <f t="shared" si="7"/>
        <v>0</v>
      </c>
      <c r="T89" s="18">
        <f t="shared" si="8"/>
        <v>0</v>
      </c>
    </row>
    <row r="90" spans="2:20" x14ac:dyDescent="0.25">
      <c r="B90" s="117" t="s">
        <v>190</v>
      </c>
      <c r="C90" s="136" t="s">
        <v>191</v>
      </c>
      <c r="D90" s="14" t="s">
        <v>15</v>
      </c>
      <c r="E90" s="14" t="s">
        <v>16</v>
      </c>
      <c r="F90" s="15">
        <v>43963</v>
      </c>
      <c r="G90" s="16">
        <v>1.63</v>
      </c>
      <c r="H90" s="15">
        <v>44049</v>
      </c>
      <c r="I90" s="16">
        <v>0.8</v>
      </c>
      <c r="J90" s="15"/>
      <c r="K90" s="16"/>
      <c r="L90" s="15"/>
      <c r="M90" s="63"/>
      <c r="N90" s="17"/>
      <c r="O90" s="16"/>
      <c r="P90" s="16"/>
      <c r="Q90" s="152">
        <f t="shared" si="5"/>
        <v>0</v>
      </c>
      <c r="R90" s="152">
        <f t="shared" si="6"/>
        <v>1.63</v>
      </c>
      <c r="S90" s="152">
        <f t="shared" si="7"/>
        <v>2.4299999999999997</v>
      </c>
      <c r="T90" s="18">
        <f t="shared" si="8"/>
        <v>2.4299999999999997</v>
      </c>
    </row>
    <row r="91" spans="2:20" x14ac:dyDescent="0.25">
      <c r="B91" s="117" t="s">
        <v>194</v>
      </c>
      <c r="C91" s="136" t="s">
        <v>195</v>
      </c>
      <c r="D91" s="14" t="s">
        <v>15</v>
      </c>
      <c r="E91" s="14" t="s">
        <v>16</v>
      </c>
      <c r="F91" s="15">
        <v>43980</v>
      </c>
      <c r="G91" s="16">
        <v>0.46</v>
      </c>
      <c r="H91" s="15"/>
      <c r="I91" s="16"/>
      <c r="J91" s="15"/>
      <c r="K91" s="16"/>
      <c r="L91" s="15"/>
      <c r="M91" s="63"/>
      <c r="N91" s="17"/>
      <c r="O91" s="16"/>
      <c r="P91" s="16"/>
      <c r="Q91" s="152">
        <f t="shared" si="5"/>
        <v>0</v>
      </c>
      <c r="R91" s="152">
        <f t="shared" si="6"/>
        <v>0.46</v>
      </c>
      <c r="S91" s="152">
        <f t="shared" si="7"/>
        <v>0.46</v>
      </c>
      <c r="T91" s="18">
        <f t="shared" si="8"/>
        <v>0.46</v>
      </c>
    </row>
    <row r="92" spans="2:20" x14ac:dyDescent="0.25">
      <c r="B92" s="117" t="s">
        <v>196</v>
      </c>
      <c r="C92" s="136" t="s">
        <v>197</v>
      </c>
      <c r="D92" s="14" t="s">
        <v>24</v>
      </c>
      <c r="E92" s="14" t="s">
        <v>16</v>
      </c>
      <c r="F92" s="15"/>
      <c r="G92" s="16"/>
      <c r="H92" s="15"/>
      <c r="I92" s="16"/>
      <c r="J92" s="15"/>
      <c r="K92" s="16"/>
      <c r="L92" s="15"/>
      <c r="M92" s="63"/>
      <c r="N92" s="17"/>
      <c r="O92" s="16"/>
      <c r="P92" s="16"/>
      <c r="Q92" s="152">
        <f t="shared" si="5"/>
        <v>0</v>
      </c>
      <c r="R92" s="152">
        <f t="shared" si="6"/>
        <v>0</v>
      </c>
      <c r="S92" s="152">
        <f t="shared" si="7"/>
        <v>0</v>
      </c>
      <c r="T92" s="18">
        <f t="shared" si="8"/>
        <v>0</v>
      </c>
    </row>
    <row r="93" spans="2:20" x14ac:dyDescent="0.25">
      <c r="B93" s="117" t="s">
        <v>198</v>
      </c>
      <c r="C93" s="136" t="s">
        <v>199</v>
      </c>
      <c r="D93" s="14" t="s">
        <v>15</v>
      </c>
      <c r="E93" s="14" t="s">
        <v>200</v>
      </c>
      <c r="F93" s="15">
        <v>44139</v>
      </c>
      <c r="G93" s="16">
        <v>7</v>
      </c>
      <c r="H93" s="15"/>
      <c r="I93" s="16"/>
      <c r="J93" s="15"/>
      <c r="K93" s="16"/>
      <c r="L93" s="15"/>
      <c r="M93" s="63"/>
      <c r="N93" s="17"/>
      <c r="O93" s="16"/>
      <c r="P93" s="16"/>
      <c r="Q93" s="152">
        <f t="shared" si="5"/>
        <v>0</v>
      </c>
      <c r="R93" s="152">
        <f t="shared" si="6"/>
        <v>0</v>
      </c>
      <c r="S93" s="152">
        <f t="shared" si="7"/>
        <v>0</v>
      </c>
      <c r="T93" s="18">
        <f t="shared" si="8"/>
        <v>7</v>
      </c>
    </row>
    <row r="94" spans="2:20" x14ac:dyDescent="0.25">
      <c r="B94" s="117" t="s">
        <v>201</v>
      </c>
      <c r="C94" s="136" t="s">
        <v>202</v>
      </c>
      <c r="D94" s="14" t="s">
        <v>27</v>
      </c>
      <c r="E94" s="14" t="s">
        <v>16</v>
      </c>
      <c r="F94" s="15">
        <v>43979</v>
      </c>
      <c r="G94" s="16">
        <v>1.69</v>
      </c>
      <c r="H94" s="15"/>
      <c r="I94" s="16"/>
      <c r="J94" s="15"/>
      <c r="K94" s="16"/>
      <c r="L94" s="15"/>
      <c r="M94" s="63"/>
      <c r="N94" s="17"/>
      <c r="O94" s="16"/>
      <c r="P94" s="16"/>
      <c r="Q94" s="152">
        <f t="shared" si="5"/>
        <v>0</v>
      </c>
      <c r="R94" s="152">
        <f t="shared" si="6"/>
        <v>1.69</v>
      </c>
      <c r="S94" s="152">
        <f t="shared" si="7"/>
        <v>1.69</v>
      </c>
      <c r="T94" s="18">
        <f t="shared" si="8"/>
        <v>1.69</v>
      </c>
    </row>
    <row r="95" spans="2:20" x14ac:dyDescent="0.25">
      <c r="B95" s="117" t="s">
        <v>717</v>
      </c>
      <c r="C95" s="136" t="s">
        <v>718</v>
      </c>
      <c r="D95" s="14" t="s">
        <v>24</v>
      </c>
      <c r="E95" s="14" t="s">
        <v>16</v>
      </c>
      <c r="F95" s="15">
        <v>43928</v>
      </c>
      <c r="G95" s="16">
        <v>0.28999999999999998</v>
      </c>
      <c r="H95" s="15"/>
      <c r="I95" s="16"/>
      <c r="J95" s="15"/>
      <c r="K95" s="16"/>
      <c r="L95" s="15"/>
      <c r="M95" s="63"/>
      <c r="N95" s="17"/>
      <c r="O95" s="16"/>
      <c r="P95" s="16"/>
      <c r="Q95" s="152">
        <f t="shared" si="5"/>
        <v>0</v>
      </c>
      <c r="R95" s="152">
        <f t="shared" si="6"/>
        <v>0.28999999999999998</v>
      </c>
      <c r="S95" s="152">
        <f t="shared" si="7"/>
        <v>0.28999999999999998</v>
      </c>
      <c r="T95" s="18">
        <f t="shared" si="8"/>
        <v>0.28999999999999998</v>
      </c>
    </row>
    <row r="96" spans="2:20" x14ac:dyDescent="0.25">
      <c r="B96" s="117" t="s">
        <v>203</v>
      </c>
      <c r="C96" s="136" t="s">
        <v>204</v>
      </c>
      <c r="D96" s="14" t="s">
        <v>15</v>
      </c>
      <c r="E96" s="14" t="s">
        <v>16</v>
      </c>
      <c r="F96" s="15">
        <v>43924</v>
      </c>
      <c r="G96" s="16">
        <v>1.85</v>
      </c>
      <c r="H96" s="15"/>
      <c r="I96" s="16"/>
      <c r="J96" s="15"/>
      <c r="K96" s="16"/>
      <c r="L96" s="15"/>
      <c r="M96" s="63"/>
      <c r="N96" s="17"/>
      <c r="O96" s="16"/>
      <c r="P96" s="16"/>
      <c r="Q96" s="152">
        <f t="shared" si="5"/>
        <v>0</v>
      </c>
      <c r="R96" s="152">
        <f t="shared" si="6"/>
        <v>1.85</v>
      </c>
      <c r="S96" s="152">
        <f t="shared" si="7"/>
        <v>1.85</v>
      </c>
      <c r="T96" s="18">
        <f t="shared" si="8"/>
        <v>1.85</v>
      </c>
    </row>
    <row r="97" spans="2:20" x14ac:dyDescent="0.25">
      <c r="B97" s="117" t="s">
        <v>205</v>
      </c>
      <c r="C97" s="136" t="s">
        <v>206</v>
      </c>
      <c r="D97" s="14" t="s">
        <v>15</v>
      </c>
      <c r="E97" s="14" t="s">
        <v>16</v>
      </c>
      <c r="F97" s="15">
        <v>44019</v>
      </c>
      <c r="G97" s="16">
        <v>0.96</v>
      </c>
      <c r="H97" s="15"/>
      <c r="I97" s="16"/>
      <c r="J97" s="15"/>
      <c r="K97" s="16"/>
      <c r="L97" s="15"/>
      <c r="M97" s="63"/>
      <c r="N97" s="17"/>
      <c r="O97" s="16"/>
      <c r="P97" s="16"/>
      <c r="Q97" s="152">
        <f t="shared" si="5"/>
        <v>0</v>
      </c>
      <c r="R97" s="152">
        <f t="shared" si="6"/>
        <v>0</v>
      </c>
      <c r="S97" s="152">
        <f t="shared" si="7"/>
        <v>0.96</v>
      </c>
      <c r="T97" s="18">
        <f t="shared" si="8"/>
        <v>0.96</v>
      </c>
    </row>
    <row r="98" spans="2:20" x14ac:dyDescent="0.25">
      <c r="B98" s="117" t="s">
        <v>207</v>
      </c>
      <c r="C98" s="136" t="s">
        <v>208</v>
      </c>
      <c r="D98" s="14" t="s">
        <v>15</v>
      </c>
      <c r="E98" s="14" t="s">
        <v>16</v>
      </c>
      <c r="F98" s="15">
        <v>43829</v>
      </c>
      <c r="G98" s="16">
        <v>0.7</v>
      </c>
      <c r="H98" s="15">
        <v>44011</v>
      </c>
      <c r="I98" s="16">
        <v>0.77500000000000002</v>
      </c>
      <c r="J98" s="15"/>
      <c r="K98" s="16"/>
      <c r="L98" s="15"/>
      <c r="M98" s="63"/>
      <c r="N98" s="17"/>
      <c r="O98" s="16"/>
      <c r="P98" s="16"/>
      <c r="Q98" s="152">
        <f t="shared" si="5"/>
        <v>0.7</v>
      </c>
      <c r="R98" s="152">
        <f t="shared" si="6"/>
        <v>0.7</v>
      </c>
      <c r="S98" s="152">
        <f t="shared" si="7"/>
        <v>1.4750000000000001</v>
      </c>
      <c r="T98" s="18">
        <f t="shared" si="8"/>
        <v>1.4750000000000001</v>
      </c>
    </row>
    <row r="99" spans="2:20" x14ac:dyDescent="0.25">
      <c r="B99" s="117" t="s">
        <v>209</v>
      </c>
      <c r="C99" s="136" t="s">
        <v>210</v>
      </c>
      <c r="D99" s="14" t="s">
        <v>15</v>
      </c>
      <c r="E99" s="14" t="s">
        <v>16</v>
      </c>
      <c r="F99" s="15">
        <v>43850</v>
      </c>
      <c r="G99" s="16">
        <v>0.16</v>
      </c>
      <c r="H99" s="15">
        <v>44032</v>
      </c>
      <c r="I99" s="16">
        <v>0.16800000000000001</v>
      </c>
      <c r="J99" s="15"/>
      <c r="K99" s="16"/>
      <c r="L99" s="15"/>
      <c r="M99" s="16"/>
      <c r="N99" s="17"/>
      <c r="O99" s="16"/>
      <c r="P99" s="16"/>
      <c r="Q99" s="152">
        <f t="shared" si="5"/>
        <v>0.16</v>
      </c>
      <c r="R99" s="152">
        <f t="shared" si="6"/>
        <v>0.16</v>
      </c>
      <c r="S99" s="152">
        <f t="shared" si="7"/>
        <v>0.32800000000000001</v>
      </c>
      <c r="T99" s="18">
        <f t="shared" si="8"/>
        <v>0.32800000000000001</v>
      </c>
    </row>
    <row r="100" spans="2:20" x14ac:dyDescent="0.25">
      <c r="B100" s="117" t="s">
        <v>211</v>
      </c>
      <c r="C100" s="136" t="s">
        <v>212</v>
      </c>
      <c r="D100" s="14" t="s">
        <v>24</v>
      </c>
      <c r="E100" s="14" t="s">
        <v>16</v>
      </c>
      <c r="F100" s="15"/>
      <c r="G100" s="16"/>
      <c r="H100" s="15"/>
      <c r="I100" s="16"/>
      <c r="J100" s="15"/>
      <c r="K100" s="16"/>
      <c r="L100" s="15"/>
      <c r="M100" s="16"/>
      <c r="N100" s="17"/>
      <c r="O100" s="16"/>
      <c r="P100" s="16"/>
      <c r="Q100" s="152">
        <f t="shared" si="5"/>
        <v>0</v>
      </c>
      <c r="R100" s="152">
        <f t="shared" si="6"/>
        <v>0</v>
      </c>
      <c r="S100" s="152">
        <f t="shared" si="7"/>
        <v>0</v>
      </c>
      <c r="T100" s="18">
        <f t="shared" si="8"/>
        <v>0</v>
      </c>
    </row>
    <row r="101" spans="2:20" x14ac:dyDescent="0.25">
      <c r="B101" s="117" t="s">
        <v>213</v>
      </c>
      <c r="C101" s="136" t="s">
        <v>214</v>
      </c>
      <c r="D101" s="14" t="s">
        <v>15</v>
      </c>
      <c r="E101" s="14" t="s">
        <v>16</v>
      </c>
      <c r="F101" s="15">
        <v>43969</v>
      </c>
      <c r="G101" s="16">
        <v>0.43</v>
      </c>
      <c r="H101" s="15">
        <v>44095</v>
      </c>
      <c r="I101" s="16">
        <v>0.12</v>
      </c>
      <c r="J101" s="15"/>
      <c r="K101" s="16"/>
      <c r="L101" s="15"/>
      <c r="M101" s="63"/>
      <c r="N101" s="17"/>
      <c r="O101" s="16"/>
      <c r="P101" s="16"/>
      <c r="Q101" s="152">
        <f t="shared" si="5"/>
        <v>0</v>
      </c>
      <c r="R101" s="152">
        <f t="shared" si="6"/>
        <v>0.43</v>
      </c>
      <c r="S101" s="152">
        <f t="shared" si="7"/>
        <v>0.43</v>
      </c>
      <c r="T101" s="18">
        <f t="shared" si="8"/>
        <v>0.55000000000000004</v>
      </c>
    </row>
    <row r="102" spans="2:20" x14ac:dyDescent="0.25">
      <c r="B102" s="117" t="s">
        <v>215</v>
      </c>
      <c r="C102" s="136" t="s">
        <v>216</v>
      </c>
      <c r="D102" s="14" t="s">
        <v>15</v>
      </c>
      <c r="E102" s="14" t="s">
        <v>200</v>
      </c>
      <c r="F102" s="15">
        <v>43922</v>
      </c>
      <c r="G102" s="16">
        <v>0.75</v>
      </c>
      <c r="H102" s="15">
        <v>44105</v>
      </c>
      <c r="I102" s="16">
        <v>0.75</v>
      </c>
      <c r="J102" s="15"/>
      <c r="K102" s="16"/>
      <c r="L102" s="15"/>
      <c r="M102" s="16"/>
      <c r="N102" s="17"/>
      <c r="O102" s="16"/>
      <c r="P102" s="16"/>
      <c r="Q102" s="152">
        <f t="shared" si="5"/>
        <v>0</v>
      </c>
      <c r="R102" s="152">
        <f t="shared" si="6"/>
        <v>0.75</v>
      </c>
      <c r="S102" s="152">
        <f t="shared" si="7"/>
        <v>0.75</v>
      </c>
      <c r="T102" s="18">
        <f t="shared" si="8"/>
        <v>1.5</v>
      </c>
    </row>
    <row r="103" spans="2:20" x14ac:dyDescent="0.25">
      <c r="B103" s="117" t="s">
        <v>632</v>
      </c>
      <c r="C103" s="136" t="s">
        <v>218</v>
      </c>
      <c r="D103" s="14" t="s">
        <v>24</v>
      </c>
      <c r="E103" s="14" t="s">
        <v>16</v>
      </c>
      <c r="F103" s="15"/>
      <c r="G103" s="16"/>
      <c r="H103" s="15"/>
      <c r="I103" s="16"/>
      <c r="J103" s="15"/>
      <c r="K103" s="16"/>
      <c r="L103" s="15"/>
      <c r="M103" s="63"/>
      <c r="N103" s="17"/>
      <c r="O103" s="16"/>
      <c r="P103" s="16"/>
      <c r="Q103" s="152">
        <f t="shared" si="5"/>
        <v>0</v>
      </c>
      <c r="R103" s="152">
        <f t="shared" si="6"/>
        <v>0</v>
      </c>
      <c r="S103" s="152">
        <f t="shared" si="7"/>
        <v>0</v>
      </c>
      <c r="T103" s="18">
        <f t="shared" si="8"/>
        <v>0</v>
      </c>
    </row>
    <row r="104" spans="2:20" x14ac:dyDescent="0.25">
      <c r="B104" s="117" t="s">
        <v>713</v>
      </c>
      <c r="C104" s="136" t="s">
        <v>712</v>
      </c>
      <c r="D104" s="14" t="s">
        <v>714</v>
      </c>
      <c r="E104" s="14" t="s">
        <v>16</v>
      </c>
      <c r="F104" s="15"/>
      <c r="G104" s="16"/>
      <c r="H104" s="15"/>
      <c r="I104" s="16"/>
      <c r="J104" s="15"/>
      <c r="K104" s="16"/>
      <c r="L104" s="15"/>
      <c r="M104" s="63"/>
      <c r="N104" s="17"/>
      <c r="O104" s="16"/>
      <c r="P104" s="16"/>
      <c r="Q104" s="152">
        <f t="shared" si="5"/>
        <v>0</v>
      </c>
      <c r="R104" s="152">
        <f t="shared" si="6"/>
        <v>0</v>
      </c>
      <c r="S104" s="152">
        <f t="shared" si="7"/>
        <v>0</v>
      </c>
      <c r="T104" s="18">
        <f t="shared" si="8"/>
        <v>0</v>
      </c>
    </row>
    <row r="105" spans="2:20" x14ac:dyDescent="0.25">
      <c r="B105" s="117" t="s">
        <v>219</v>
      </c>
      <c r="C105" s="136" t="s">
        <v>220</v>
      </c>
      <c r="D105" s="14" t="s">
        <v>24</v>
      </c>
      <c r="E105" s="14" t="s">
        <v>16</v>
      </c>
      <c r="F105" s="15">
        <v>44155</v>
      </c>
      <c r="G105" s="16">
        <v>0.89</v>
      </c>
      <c r="H105" s="15"/>
      <c r="I105" s="16"/>
      <c r="J105" s="15"/>
      <c r="K105" s="16"/>
      <c r="L105" s="15"/>
      <c r="M105" s="63"/>
      <c r="N105" s="17"/>
      <c r="O105" s="16"/>
      <c r="P105" s="16"/>
      <c r="Q105" s="152">
        <f t="shared" si="5"/>
        <v>0</v>
      </c>
      <c r="R105" s="152">
        <f t="shared" si="6"/>
        <v>0</v>
      </c>
      <c r="S105" s="152">
        <f t="shared" si="7"/>
        <v>0</v>
      </c>
      <c r="T105" s="18">
        <f t="shared" si="8"/>
        <v>0.89</v>
      </c>
    </row>
    <row r="106" spans="2:20" x14ac:dyDescent="0.25">
      <c r="B106" s="117" t="s">
        <v>621</v>
      </c>
      <c r="C106" s="136" t="s">
        <v>450</v>
      </c>
      <c r="D106" s="14" t="s">
        <v>15</v>
      </c>
      <c r="E106" s="14" t="s">
        <v>56</v>
      </c>
      <c r="F106" s="15">
        <v>43879</v>
      </c>
      <c r="G106" s="16">
        <v>0.26</v>
      </c>
      <c r="H106" s="15">
        <v>43966</v>
      </c>
      <c r="I106" s="16">
        <v>0.27</v>
      </c>
      <c r="J106" s="15">
        <v>44057</v>
      </c>
      <c r="K106" s="16">
        <v>0.09</v>
      </c>
      <c r="L106" s="15">
        <v>44147</v>
      </c>
      <c r="M106" s="63">
        <v>0.09</v>
      </c>
      <c r="N106" s="17"/>
      <c r="O106" s="16"/>
      <c r="P106" s="16"/>
      <c r="Q106" s="152">
        <f t="shared" si="5"/>
        <v>0.26</v>
      </c>
      <c r="R106" s="152">
        <f t="shared" si="6"/>
        <v>0.53</v>
      </c>
      <c r="S106" s="152">
        <f t="shared" si="7"/>
        <v>0.62</v>
      </c>
      <c r="T106" s="18">
        <f t="shared" si="8"/>
        <v>0.71</v>
      </c>
    </row>
    <row r="107" spans="2:20" x14ac:dyDescent="0.25">
      <c r="B107" s="117" t="s">
        <v>221</v>
      </c>
      <c r="C107" s="136" t="s">
        <v>222</v>
      </c>
      <c r="D107" s="14" t="s">
        <v>15</v>
      </c>
      <c r="E107" s="14" t="s">
        <v>56</v>
      </c>
      <c r="F107" s="15">
        <v>43832</v>
      </c>
      <c r="G107" s="16">
        <v>0.14499999999999999</v>
      </c>
      <c r="H107" s="15">
        <v>44007</v>
      </c>
      <c r="I107" s="16">
        <v>0.32500000000000001</v>
      </c>
      <c r="J107" s="15"/>
      <c r="K107" s="16"/>
      <c r="L107" s="15"/>
      <c r="M107" s="63"/>
      <c r="N107" s="17"/>
      <c r="O107" s="16"/>
      <c r="P107" s="16"/>
      <c r="Q107" s="152">
        <f t="shared" si="5"/>
        <v>0.14499999999999999</v>
      </c>
      <c r="R107" s="152">
        <f t="shared" si="6"/>
        <v>0.14499999999999999</v>
      </c>
      <c r="S107" s="152">
        <f t="shared" si="7"/>
        <v>0.47</v>
      </c>
      <c r="T107" s="18">
        <f t="shared" si="8"/>
        <v>0.47</v>
      </c>
    </row>
    <row r="108" spans="2:20" x14ac:dyDescent="0.25">
      <c r="B108" s="117" t="s">
        <v>719</v>
      </c>
      <c r="C108" s="136" t="s">
        <v>720</v>
      </c>
      <c r="D108" s="14" t="s">
        <v>15</v>
      </c>
      <c r="E108" s="14" t="s">
        <v>16</v>
      </c>
      <c r="F108" s="15">
        <v>43941</v>
      </c>
      <c r="G108" s="16">
        <v>1.1299999999999999</v>
      </c>
      <c r="H108" s="15"/>
      <c r="I108" s="16"/>
      <c r="J108" s="15"/>
      <c r="K108" s="16"/>
      <c r="L108" s="15"/>
      <c r="M108" s="63"/>
      <c r="N108" s="17"/>
      <c r="O108" s="16"/>
      <c r="P108" s="16"/>
      <c r="Q108" s="152">
        <f t="shared" si="5"/>
        <v>0</v>
      </c>
      <c r="R108" s="152">
        <f t="shared" si="6"/>
        <v>1.1299999999999999</v>
      </c>
      <c r="S108" s="152">
        <f t="shared" si="7"/>
        <v>1.1299999999999999</v>
      </c>
      <c r="T108" s="18">
        <f t="shared" si="8"/>
        <v>1.1299999999999999</v>
      </c>
    </row>
    <row r="109" spans="2:20" x14ac:dyDescent="0.25">
      <c r="B109" s="117" t="s">
        <v>225</v>
      </c>
      <c r="C109" s="136" t="s">
        <v>226</v>
      </c>
      <c r="D109" s="14" t="s">
        <v>15</v>
      </c>
      <c r="E109" s="14" t="s">
        <v>16</v>
      </c>
      <c r="F109" s="15">
        <v>43965</v>
      </c>
      <c r="G109" s="16">
        <v>0.312</v>
      </c>
      <c r="H109" s="15">
        <v>44139</v>
      </c>
      <c r="I109" s="16">
        <v>0.2</v>
      </c>
      <c r="J109" s="15"/>
      <c r="K109" s="16"/>
      <c r="L109" s="15"/>
      <c r="M109" s="63"/>
      <c r="N109" s="17"/>
      <c r="O109" s="16"/>
      <c r="P109" s="16"/>
      <c r="Q109" s="152">
        <f t="shared" si="5"/>
        <v>0</v>
      </c>
      <c r="R109" s="152">
        <f t="shared" si="6"/>
        <v>0.312</v>
      </c>
      <c r="S109" s="152">
        <f t="shared" si="7"/>
        <v>0.312</v>
      </c>
      <c r="T109" s="18">
        <f t="shared" si="8"/>
        <v>0.51200000000000001</v>
      </c>
    </row>
    <row r="110" spans="2:20" x14ac:dyDescent="0.25">
      <c r="B110" s="117" t="s">
        <v>628</v>
      </c>
      <c r="C110" s="136" t="s">
        <v>629</v>
      </c>
      <c r="D110" s="14" t="s">
        <v>15</v>
      </c>
      <c r="E110" s="14" t="s">
        <v>16</v>
      </c>
      <c r="F110" s="15"/>
      <c r="G110" s="16"/>
      <c r="H110" s="15"/>
      <c r="I110" s="16"/>
      <c r="J110" s="15"/>
      <c r="K110" s="16"/>
      <c r="L110" s="15"/>
      <c r="M110" s="63"/>
      <c r="N110" s="17"/>
      <c r="O110" s="16"/>
      <c r="P110" s="16"/>
      <c r="Q110" s="152">
        <f t="shared" si="5"/>
        <v>0</v>
      </c>
      <c r="R110" s="152">
        <f t="shared" si="6"/>
        <v>0</v>
      </c>
      <c r="S110" s="152">
        <f t="shared" si="7"/>
        <v>0</v>
      </c>
      <c r="T110" s="18">
        <f t="shared" si="8"/>
        <v>0</v>
      </c>
    </row>
    <row r="111" spans="2:20" x14ac:dyDescent="0.25">
      <c r="B111" s="117" t="s">
        <v>686</v>
      </c>
      <c r="C111" s="136" t="s">
        <v>685</v>
      </c>
      <c r="D111" s="14" t="s">
        <v>15</v>
      </c>
      <c r="E111" s="14" t="s">
        <v>16</v>
      </c>
      <c r="F111" s="15"/>
      <c r="G111" s="16"/>
      <c r="H111" s="15"/>
      <c r="I111" s="16"/>
      <c r="J111" s="15"/>
      <c r="K111" s="16"/>
      <c r="L111" s="15"/>
      <c r="M111" s="63"/>
      <c r="N111" s="17"/>
      <c r="O111" s="16"/>
      <c r="P111" s="16"/>
      <c r="Q111" s="152">
        <f t="shared" si="5"/>
        <v>0</v>
      </c>
      <c r="R111" s="152">
        <f t="shared" si="6"/>
        <v>0</v>
      </c>
      <c r="S111" s="152">
        <f t="shared" si="7"/>
        <v>0</v>
      </c>
      <c r="T111" s="18">
        <f t="shared" si="8"/>
        <v>0</v>
      </c>
    </row>
    <row r="112" spans="2:20" x14ac:dyDescent="0.25">
      <c r="B112" s="117" t="s">
        <v>229</v>
      </c>
      <c r="C112" s="136" t="s">
        <v>230</v>
      </c>
      <c r="D112" s="14" t="s">
        <v>15</v>
      </c>
      <c r="E112" s="14" t="s">
        <v>16</v>
      </c>
      <c r="F112" s="15">
        <v>43945</v>
      </c>
      <c r="G112" s="16">
        <v>1.1000000000000001</v>
      </c>
      <c r="H112" s="15"/>
      <c r="I112" s="16"/>
      <c r="J112" s="15"/>
      <c r="K112" s="16"/>
      <c r="L112" s="15"/>
      <c r="M112" s="63"/>
      <c r="N112" s="17"/>
      <c r="O112" s="16"/>
      <c r="P112" s="16"/>
      <c r="Q112" s="152">
        <f t="shared" si="5"/>
        <v>0</v>
      </c>
      <c r="R112" s="152">
        <f t="shared" si="6"/>
        <v>1.1000000000000001</v>
      </c>
      <c r="S112" s="152">
        <f t="shared" si="7"/>
        <v>1.1000000000000001</v>
      </c>
      <c r="T112" s="18">
        <f t="shared" si="8"/>
        <v>1.1000000000000001</v>
      </c>
    </row>
    <row r="113" spans="2:20" x14ac:dyDescent="0.25">
      <c r="B113" s="117" t="s">
        <v>231</v>
      </c>
      <c r="C113" s="136" t="s">
        <v>232</v>
      </c>
      <c r="D113" s="14" t="s">
        <v>15</v>
      </c>
      <c r="E113" s="14" t="s">
        <v>16</v>
      </c>
      <c r="F113" s="46">
        <v>44074</v>
      </c>
      <c r="G113" s="47">
        <v>0.84</v>
      </c>
      <c r="H113" s="46"/>
      <c r="I113" s="47"/>
      <c r="J113" s="46"/>
      <c r="K113" s="47"/>
      <c r="L113" s="46"/>
      <c r="M113" s="80"/>
      <c r="N113" s="48"/>
      <c r="O113" s="47"/>
      <c r="P113" s="47"/>
      <c r="Q113" s="152">
        <f t="shared" si="5"/>
        <v>0</v>
      </c>
      <c r="R113" s="152">
        <f t="shared" si="6"/>
        <v>0</v>
      </c>
      <c r="S113" s="152">
        <f t="shared" si="7"/>
        <v>0.84</v>
      </c>
      <c r="T113" s="18">
        <f t="shared" si="8"/>
        <v>0.84</v>
      </c>
    </row>
    <row r="114" spans="2:20" x14ac:dyDescent="0.25">
      <c r="B114" s="117" t="s">
        <v>233</v>
      </c>
      <c r="C114" s="136" t="s">
        <v>234</v>
      </c>
      <c r="D114" s="14" t="s">
        <v>15</v>
      </c>
      <c r="E114" s="14" t="s">
        <v>16</v>
      </c>
      <c r="F114" s="46"/>
      <c r="G114" s="47"/>
      <c r="H114" s="46"/>
      <c r="I114" s="47"/>
      <c r="J114" s="46"/>
      <c r="K114" s="47"/>
      <c r="L114" s="46"/>
      <c r="M114" s="80"/>
      <c r="N114" s="48"/>
      <c r="O114" s="47"/>
      <c r="P114" s="47"/>
      <c r="Q114" s="152">
        <f t="shared" si="5"/>
        <v>0</v>
      </c>
      <c r="R114" s="152">
        <f t="shared" si="6"/>
        <v>0</v>
      </c>
      <c r="S114" s="152">
        <f t="shared" si="7"/>
        <v>0</v>
      </c>
      <c r="T114" s="18">
        <f t="shared" si="8"/>
        <v>0</v>
      </c>
    </row>
    <row r="115" spans="2:20" x14ac:dyDescent="0.25">
      <c r="B115" s="117" t="s">
        <v>235</v>
      </c>
      <c r="C115" s="136" t="s">
        <v>236</v>
      </c>
      <c r="D115" s="14" t="s">
        <v>237</v>
      </c>
      <c r="E115" s="14" t="s">
        <v>16</v>
      </c>
      <c r="F115" s="15">
        <v>43970</v>
      </c>
      <c r="G115" s="16">
        <v>0.38374999999999998</v>
      </c>
      <c r="H115" s="15"/>
      <c r="I115" s="16"/>
      <c r="J115" s="15"/>
      <c r="K115" s="16"/>
      <c r="L115" s="15"/>
      <c r="M115" s="63"/>
      <c r="N115" s="17"/>
      <c r="O115" s="16"/>
      <c r="P115" s="16"/>
      <c r="Q115" s="152">
        <f t="shared" si="5"/>
        <v>0</v>
      </c>
      <c r="R115" s="152">
        <f t="shared" si="6"/>
        <v>0.38374999999999998</v>
      </c>
      <c r="S115" s="152">
        <f t="shared" si="7"/>
        <v>0.38374999999999998</v>
      </c>
      <c r="T115" s="18">
        <f t="shared" si="8"/>
        <v>0.38374999999999998</v>
      </c>
    </row>
    <row r="116" spans="2:20" x14ac:dyDescent="0.25">
      <c r="B116" s="117" t="s">
        <v>623</v>
      </c>
      <c r="C116" s="136" t="s">
        <v>239</v>
      </c>
      <c r="D116" s="14" t="s">
        <v>15</v>
      </c>
      <c r="E116" s="14" t="s">
        <v>16</v>
      </c>
      <c r="F116" s="15">
        <v>43913</v>
      </c>
      <c r="G116" s="16">
        <v>0.59299999999999997</v>
      </c>
      <c r="H116" s="15">
        <v>43983</v>
      </c>
      <c r="I116" s="16">
        <v>0.01</v>
      </c>
      <c r="J116" s="15">
        <v>44039</v>
      </c>
      <c r="K116" s="16">
        <v>0.31</v>
      </c>
      <c r="L116" s="15">
        <v>44144</v>
      </c>
      <c r="M116" s="63">
        <v>0.5</v>
      </c>
      <c r="N116" s="17"/>
      <c r="O116" s="16"/>
      <c r="P116" s="16"/>
      <c r="Q116" s="152">
        <f t="shared" si="5"/>
        <v>0</v>
      </c>
      <c r="R116" s="152">
        <f t="shared" si="6"/>
        <v>0.60299999999999998</v>
      </c>
      <c r="S116" s="152">
        <f t="shared" si="7"/>
        <v>0.91300000000000003</v>
      </c>
      <c r="T116" s="18">
        <f t="shared" si="8"/>
        <v>1.413</v>
      </c>
    </row>
    <row r="117" spans="2:20" x14ac:dyDescent="0.25">
      <c r="B117" s="117" t="s">
        <v>242</v>
      </c>
      <c r="C117" s="136" t="s">
        <v>243</v>
      </c>
      <c r="D117" s="14" t="s">
        <v>15</v>
      </c>
      <c r="E117" s="14" t="s">
        <v>21</v>
      </c>
      <c r="F117" s="15">
        <v>43924</v>
      </c>
      <c r="G117" s="16">
        <v>11.3</v>
      </c>
      <c r="H117" s="15"/>
      <c r="I117" s="16"/>
      <c r="J117" s="15"/>
      <c r="K117" s="16"/>
      <c r="L117" s="15"/>
      <c r="M117" s="63"/>
      <c r="N117" s="17"/>
      <c r="O117" s="16"/>
      <c r="P117" s="16"/>
      <c r="Q117" s="152">
        <f t="shared" si="5"/>
        <v>0</v>
      </c>
      <c r="R117" s="152">
        <f t="shared" si="6"/>
        <v>11.3</v>
      </c>
      <c r="S117" s="152">
        <f t="shared" si="7"/>
        <v>11.3</v>
      </c>
      <c r="T117" s="18">
        <f t="shared" si="8"/>
        <v>11.3</v>
      </c>
    </row>
    <row r="118" spans="2:20" x14ac:dyDescent="0.25">
      <c r="B118" s="117" t="s">
        <v>248</v>
      </c>
      <c r="C118" s="136" t="s">
        <v>249</v>
      </c>
      <c r="D118" s="14" t="s">
        <v>15</v>
      </c>
      <c r="E118" s="14" t="s">
        <v>21</v>
      </c>
      <c r="F118" s="15">
        <v>43917</v>
      </c>
      <c r="G118" s="16">
        <v>62</v>
      </c>
      <c r="H118" s="15"/>
      <c r="I118" s="16"/>
      <c r="J118" s="15"/>
      <c r="K118" s="16"/>
      <c r="L118" s="15"/>
      <c r="M118" s="16"/>
      <c r="N118" s="17"/>
      <c r="O118" s="16"/>
      <c r="P118" s="16"/>
      <c r="Q118" s="152">
        <f t="shared" si="5"/>
        <v>0</v>
      </c>
      <c r="R118" s="152">
        <f t="shared" si="6"/>
        <v>62</v>
      </c>
      <c r="S118" s="152">
        <f t="shared" si="7"/>
        <v>62</v>
      </c>
      <c r="T118" s="18">
        <f t="shared" si="8"/>
        <v>62</v>
      </c>
    </row>
    <row r="119" spans="2:20" x14ac:dyDescent="0.25">
      <c r="B119" s="117" t="s">
        <v>250</v>
      </c>
      <c r="C119" s="136" t="s">
        <v>251</v>
      </c>
      <c r="D119" s="14" t="s">
        <v>15</v>
      </c>
      <c r="E119" s="14" t="s">
        <v>77</v>
      </c>
      <c r="F119" s="15">
        <v>43881</v>
      </c>
      <c r="G119" s="16">
        <v>23</v>
      </c>
      <c r="H119" s="15">
        <v>43965</v>
      </c>
      <c r="I119" s="16">
        <v>19</v>
      </c>
      <c r="J119" s="15">
        <v>44056</v>
      </c>
      <c r="K119" s="16">
        <v>19</v>
      </c>
      <c r="L119" s="15">
        <v>44147</v>
      </c>
      <c r="M119" s="63">
        <v>19</v>
      </c>
      <c r="N119" s="17"/>
      <c r="O119" s="16"/>
      <c r="P119" s="16"/>
      <c r="Q119" s="152">
        <f t="shared" si="5"/>
        <v>23</v>
      </c>
      <c r="R119" s="152">
        <f t="shared" si="6"/>
        <v>42</v>
      </c>
      <c r="S119" s="152">
        <f t="shared" si="7"/>
        <v>61</v>
      </c>
      <c r="T119" s="18">
        <f t="shared" si="8"/>
        <v>80</v>
      </c>
    </row>
    <row r="120" spans="2:20" x14ac:dyDescent="0.25">
      <c r="B120" s="117" t="s">
        <v>252</v>
      </c>
      <c r="C120" s="136" t="s">
        <v>253</v>
      </c>
      <c r="D120" s="14" t="s">
        <v>15</v>
      </c>
      <c r="E120" s="14" t="s">
        <v>56</v>
      </c>
      <c r="F120" s="15"/>
      <c r="G120" s="16"/>
      <c r="H120" s="15"/>
      <c r="I120" s="16"/>
      <c r="J120" s="15"/>
      <c r="K120" s="16"/>
      <c r="L120" s="15"/>
      <c r="M120" s="16"/>
      <c r="N120" s="17"/>
      <c r="O120" s="16"/>
      <c r="P120" s="16"/>
      <c r="Q120" s="152">
        <f t="shared" si="5"/>
        <v>0</v>
      </c>
      <c r="R120" s="152">
        <f t="shared" si="6"/>
        <v>0</v>
      </c>
      <c r="S120" s="152">
        <f t="shared" si="7"/>
        <v>0</v>
      </c>
      <c r="T120" s="18">
        <f t="shared" si="8"/>
        <v>0</v>
      </c>
    </row>
    <row r="121" spans="2:20" x14ac:dyDescent="0.25">
      <c r="B121" s="117" t="s">
        <v>254</v>
      </c>
      <c r="C121" s="136" t="s">
        <v>255</v>
      </c>
      <c r="D121" s="39" t="s">
        <v>27</v>
      </c>
      <c r="E121" s="39" t="s">
        <v>16</v>
      </c>
      <c r="F121" s="15">
        <v>43956</v>
      </c>
      <c r="G121" s="16">
        <v>3.15</v>
      </c>
      <c r="H121" s="15"/>
      <c r="I121" s="16"/>
      <c r="J121" s="15"/>
      <c r="K121" s="16"/>
      <c r="L121" s="15"/>
      <c r="M121" s="63"/>
      <c r="N121" s="17"/>
      <c r="O121" s="16"/>
      <c r="P121" s="16"/>
      <c r="Q121" s="152">
        <f t="shared" si="5"/>
        <v>0</v>
      </c>
      <c r="R121" s="152">
        <f t="shared" si="6"/>
        <v>3.15</v>
      </c>
      <c r="S121" s="152">
        <f t="shared" si="7"/>
        <v>3.15</v>
      </c>
      <c r="T121" s="18">
        <f t="shared" si="8"/>
        <v>3.15</v>
      </c>
    </row>
    <row r="122" spans="2:20" x14ac:dyDescent="0.25">
      <c r="B122" s="117" t="s">
        <v>256</v>
      </c>
      <c r="C122" s="136" t="s">
        <v>257</v>
      </c>
      <c r="D122" s="39" t="s">
        <v>15</v>
      </c>
      <c r="E122" s="39" t="s">
        <v>16</v>
      </c>
      <c r="F122" s="15">
        <v>43948</v>
      </c>
      <c r="G122" s="16">
        <v>1.04</v>
      </c>
      <c r="H122" s="15"/>
      <c r="I122" s="16"/>
      <c r="J122" s="15"/>
      <c r="K122" s="16"/>
      <c r="L122" s="15"/>
      <c r="M122" s="63"/>
      <c r="N122" s="17"/>
      <c r="O122" s="16"/>
      <c r="P122" s="16"/>
      <c r="Q122" s="152">
        <f t="shared" si="5"/>
        <v>0</v>
      </c>
      <c r="R122" s="152">
        <f t="shared" si="6"/>
        <v>1.04</v>
      </c>
      <c r="S122" s="152">
        <f t="shared" si="7"/>
        <v>1.04</v>
      </c>
      <c r="T122" s="18">
        <f t="shared" si="8"/>
        <v>1.04</v>
      </c>
    </row>
    <row r="123" spans="2:20" x14ac:dyDescent="0.25">
      <c r="B123" s="117" t="s">
        <v>258</v>
      </c>
      <c r="C123" s="136" t="s">
        <v>259</v>
      </c>
      <c r="D123" s="14" t="s">
        <v>15</v>
      </c>
      <c r="E123" s="14" t="s">
        <v>16</v>
      </c>
      <c r="F123" s="15">
        <v>44000</v>
      </c>
      <c r="G123" s="16">
        <v>1.85</v>
      </c>
      <c r="H123" s="15"/>
      <c r="I123" s="16"/>
      <c r="J123" s="15"/>
      <c r="K123" s="16"/>
      <c r="L123" s="15"/>
      <c r="M123" s="16"/>
      <c r="N123" s="17"/>
      <c r="O123" s="16"/>
      <c r="P123" s="16"/>
      <c r="Q123" s="152">
        <f t="shared" si="5"/>
        <v>0</v>
      </c>
      <c r="R123" s="152">
        <f t="shared" si="6"/>
        <v>1.85</v>
      </c>
      <c r="S123" s="152">
        <f t="shared" si="7"/>
        <v>1.85</v>
      </c>
      <c r="T123" s="18">
        <f t="shared" si="8"/>
        <v>1.85</v>
      </c>
    </row>
    <row r="124" spans="2:20" x14ac:dyDescent="0.25">
      <c r="B124" s="117" t="s">
        <v>260</v>
      </c>
      <c r="C124" s="136" t="s">
        <v>261</v>
      </c>
      <c r="D124" s="14" t="s">
        <v>15</v>
      </c>
      <c r="E124" s="14" t="s">
        <v>200</v>
      </c>
      <c r="F124" s="15"/>
      <c r="G124" s="16"/>
      <c r="H124" s="15"/>
      <c r="I124" s="16"/>
      <c r="J124" s="15"/>
      <c r="K124" s="16"/>
      <c r="L124" s="15"/>
      <c r="M124" s="63"/>
      <c r="N124" s="17"/>
      <c r="O124" s="16"/>
      <c r="P124" s="16"/>
      <c r="Q124" s="152">
        <f t="shared" si="5"/>
        <v>0</v>
      </c>
      <c r="R124" s="152">
        <f t="shared" si="6"/>
        <v>0</v>
      </c>
      <c r="S124" s="152">
        <f t="shared" si="7"/>
        <v>0</v>
      </c>
      <c r="T124" s="18">
        <f t="shared" si="8"/>
        <v>0</v>
      </c>
    </row>
    <row r="125" spans="2:20" x14ac:dyDescent="0.25">
      <c r="B125" s="117" t="s">
        <v>626</v>
      </c>
      <c r="C125" s="136" t="s">
        <v>627</v>
      </c>
      <c r="D125" s="14" t="s">
        <v>24</v>
      </c>
      <c r="E125" s="14" t="s">
        <v>16</v>
      </c>
      <c r="F125" s="15">
        <v>43893</v>
      </c>
      <c r="G125" s="16">
        <v>1.5</v>
      </c>
      <c r="H125" s="15">
        <v>43949</v>
      </c>
      <c r="I125" s="16">
        <v>3.05</v>
      </c>
      <c r="J125" s="15"/>
      <c r="K125" s="16"/>
      <c r="L125" s="15"/>
      <c r="M125" s="63"/>
      <c r="N125" s="17"/>
      <c r="O125" s="16"/>
      <c r="P125" s="16"/>
      <c r="Q125" s="152">
        <f t="shared" si="5"/>
        <v>1.5</v>
      </c>
      <c r="R125" s="152">
        <f t="shared" si="6"/>
        <v>4.55</v>
      </c>
      <c r="S125" s="152">
        <f t="shared" si="7"/>
        <v>4.55</v>
      </c>
      <c r="T125" s="18">
        <f t="shared" si="8"/>
        <v>4.55</v>
      </c>
    </row>
    <row r="126" spans="2:20" x14ac:dyDescent="0.25">
      <c r="B126" s="117" t="s">
        <v>264</v>
      </c>
      <c r="C126" s="136" t="s">
        <v>265</v>
      </c>
      <c r="D126" s="45" t="s">
        <v>15</v>
      </c>
      <c r="E126" s="45" t="s">
        <v>56</v>
      </c>
      <c r="F126" s="15"/>
      <c r="G126" s="16"/>
      <c r="H126" s="15"/>
      <c r="I126" s="16"/>
      <c r="J126" s="15"/>
      <c r="K126" s="16"/>
      <c r="L126" s="15"/>
      <c r="M126" s="16"/>
      <c r="N126" s="17"/>
      <c r="O126" s="16"/>
      <c r="P126" s="16"/>
      <c r="Q126" s="152">
        <f t="shared" si="5"/>
        <v>0</v>
      </c>
      <c r="R126" s="152">
        <f t="shared" si="6"/>
        <v>0</v>
      </c>
      <c r="S126" s="152">
        <f t="shared" si="7"/>
        <v>0</v>
      </c>
      <c r="T126" s="18">
        <f t="shared" si="8"/>
        <v>0</v>
      </c>
    </row>
    <row r="127" spans="2:20" x14ac:dyDescent="0.25">
      <c r="B127" s="117" t="s">
        <v>266</v>
      </c>
      <c r="C127" s="136" t="s">
        <v>267</v>
      </c>
      <c r="D127" s="14" t="s">
        <v>15</v>
      </c>
      <c r="E127" s="14" t="s">
        <v>16</v>
      </c>
      <c r="F127" s="15">
        <v>43839</v>
      </c>
      <c r="G127" s="16">
        <v>0.16800000000000001</v>
      </c>
      <c r="H127" s="15">
        <v>44020</v>
      </c>
      <c r="I127" s="16">
        <v>0.23200000000000001</v>
      </c>
      <c r="J127" s="15"/>
      <c r="K127" s="16"/>
      <c r="L127" s="15"/>
      <c r="M127" s="16"/>
      <c r="N127" s="17"/>
      <c r="O127" s="16"/>
      <c r="P127" s="16"/>
      <c r="Q127" s="152">
        <f t="shared" si="5"/>
        <v>0.16800000000000001</v>
      </c>
      <c r="R127" s="152">
        <f t="shared" si="6"/>
        <v>0.16800000000000001</v>
      </c>
      <c r="S127" s="152">
        <f t="shared" si="7"/>
        <v>0.4</v>
      </c>
      <c r="T127" s="18">
        <f t="shared" si="8"/>
        <v>0.4</v>
      </c>
    </row>
    <row r="128" spans="2:20" x14ac:dyDescent="0.25">
      <c r="B128" s="117" t="s">
        <v>268</v>
      </c>
      <c r="C128" s="136" t="s">
        <v>269</v>
      </c>
      <c r="D128" s="14" t="s">
        <v>15</v>
      </c>
      <c r="E128" s="14" t="s">
        <v>77</v>
      </c>
      <c r="F128" s="15">
        <v>43881</v>
      </c>
      <c r="G128" s="16">
        <v>72.010000000000005</v>
      </c>
      <c r="H128" s="15">
        <v>43979</v>
      </c>
      <c r="I128" s="16">
        <v>20.85</v>
      </c>
      <c r="J128" s="15">
        <v>44063</v>
      </c>
      <c r="K128" s="16">
        <v>20.85</v>
      </c>
      <c r="L128" s="15">
        <v>44161</v>
      </c>
      <c r="M128" s="16">
        <v>48</v>
      </c>
      <c r="N128" s="17"/>
      <c r="O128" s="16"/>
      <c r="P128" s="16"/>
      <c r="Q128" s="152">
        <f t="shared" si="5"/>
        <v>72.010000000000005</v>
      </c>
      <c r="R128" s="152">
        <f t="shared" si="6"/>
        <v>92.860000000000014</v>
      </c>
      <c r="S128" s="152">
        <f t="shared" si="7"/>
        <v>113.71000000000001</v>
      </c>
      <c r="T128" s="18">
        <f t="shared" si="8"/>
        <v>161.71</v>
      </c>
    </row>
    <row r="129" spans="2:20" x14ac:dyDescent="0.25">
      <c r="B129" s="117" t="s">
        <v>270</v>
      </c>
      <c r="C129" s="136" t="s">
        <v>271</v>
      </c>
      <c r="D129" s="14" t="s">
        <v>15</v>
      </c>
      <c r="E129" s="14" t="s">
        <v>16</v>
      </c>
      <c r="F129" s="15">
        <v>44133</v>
      </c>
      <c r="G129" s="16">
        <v>0.35</v>
      </c>
      <c r="H129" s="15"/>
      <c r="I129" s="16"/>
      <c r="J129" s="15"/>
      <c r="K129" s="16"/>
      <c r="L129" s="15"/>
      <c r="M129" s="16"/>
      <c r="N129" s="17"/>
      <c r="O129" s="16"/>
      <c r="P129" s="16"/>
      <c r="Q129" s="152">
        <f t="shared" si="5"/>
        <v>0</v>
      </c>
      <c r="R129" s="152">
        <f t="shared" si="6"/>
        <v>0</v>
      </c>
      <c r="S129" s="152">
        <f t="shared" si="7"/>
        <v>0</v>
      </c>
      <c r="T129" s="18">
        <f t="shared" si="8"/>
        <v>0.35</v>
      </c>
    </row>
    <row r="130" spans="2:20" x14ac:dyDescent="0.25">
      <c r="B130" s="117" t="s">
        <v>273</v>
      </c>
      <c r="C130" s="136" t="s">
        <v>274</v>
      </c>
      <c r="D130" s="14" t="s">
        <v>15</v>
      </c>
      <c r="E130" s="14" t="s">
        <v>16</v>
      </c>
      <c r="F130" s="15"/>
      <c r="G130" s="16"/>
      <c r="H130" s="15"/>
      <c r="I130" s="16"/>
      <c r="J130" s="15"/>
      <c r="K130" s="16"/>
      <c r="L130" s="15"/>
      <c r="M130" s="16"/>
      <c r="N130" s="17"/>
      <c r="O130" s="16"/>
      <c r="P130" s="16"/>
      <c r="Q130" s="152">
        <f t="shared" si="5"/>
        <v>0</v>
      </c>
      <c r="R130" s="152">
        <f t="shared" si="6"/>
        <v>0</v>
      </c>
      <c r="S130" s="152">
        <f t="shared" si="7"/>
        <v>0</v>
      </c>
      <c r="T130" s="18">
        <f t="shared" si="8"/>
        <v>0</v>
      </c>
    </row>
    <row r="131" spans="2:20" x14ac:dyDescent="0.25">
      <c r="B131" s="117" t="s">
        <v>276</v>
      </c>
      <c r="C131" s="136" t="s">
        <v>277</v>
      </c>
      <c r="D131" s="14" t="s">
        <v>15</v>
      </c>
      <c r="E131" s="14" t="s">
        <v>16</v>
      </c>
      <c r="F131" s="15"/>
      <c r="G131" s="16"/>
      <c r="H131" s="15"/>
      <c r="I131" s="16"/>
      <c r="J131" s="15"/>
      <c r="K131" s="16"/>
      <c r="L131" s="15"/>
      <c r="M131" s="16"/>
      <c r="N131" s="17"/>
      <c r="O131" s="16"/>
      <c r="P131" s="16"/>
      <c r="Q131" s="152">
        <f t="shared" si="5"/>
        <v>0</v>
      </c>
      <c r="R131" s="152">
        <f t="shared" si="6"/>
        <v>0</v>
      </c>
      <c r="S131" s="152">
        <f t="shared" si="7"/>
        <v>0</v>
      </c>
      <c r="T131" s="18">
        <f t="shared" si="8"/>
        <v>0</v>
      </c>
    </row>
    <row r="132" spans="2:20" x14ac:dyDescent="0.25">
      <c r="B132" s="117" t="s">
        <v>278</v>
      </c>
      <c r="C132" s="136" t="s">
        <v>279</v>
      </c>
      <c r="D132" s="14" t="s">
        <v>15</v>
      </c>
      <c r="E132" s="14" t="s">
        <v>16</v>
      </c>
      <c r="F132" s="15">
        <v>43969</v>
      </c>
      <c r="G132" s="16">
        <v>0.25600000000000001</v>
      </c>
      <c r="H132" s="15"/>
      <c r="I132" s="16"/>
      <c r="J132" s="15"/>
      <c r="K132" s="16"/>
      <c r="L132" s="15"/>
      <c r="M132" s="16"/>
      <c r="N132" s="17"/>
      <c r="O132" s="16"/>
      <c r="P132" s="16"/>
      <c r="Q132" s="152">
        <f t="shared" si="5"/>
        <v>0</v>
      </c>
      <c r="R132" s="152">
        <f t="shared" si="6"/>
        <v>0.25600000000000001</v>
      </c>
      <c r="S132" s="152">
        <f t="shared" si="7"/>
        <v>0.25600000000000001</v>
      </c>
      <c r="T132" s="18">
        <f t="shared" si="8"/>
        <v>0.25600000000000001</v>
      </c>
    </row>
    <row r="133" spans="2:20" x14ac:dyDescent="0.25">
      <c r="B133" s="117" t="s">
        <v>284</v>
      </c>
      <c r="C133" s="136" t="s">
        <v>285</v>
      </c>
      <c r="D133" s="14" t="s">
        <v>15</v>
      </c>
      <c r="E133" s="14" t="s">
        <v>21</v>
      </c>
      <c r="F133" s="15">
        <v>43881</v>
      </c>
      <c r="G133" s="16">
        <v>0.75</v>
      </c>
      <c r="H133" s="15">
        <v>44139</v>
      </c>
      <c r="I133" s="16">
        <v>0.75</v>
      </c>
      <c r="J133" s="15"/>
      <c r="K133" s="16"/>
      <c r="L133" s="15"/>
      <c r="M133" s="16"/>
      <c r="N133" s="17"/>
      <c r="O133" s="16"/>
      <c r="P133" s="16"/>
      <c r="Q133" s="152">
        <f t="shared" si="5"/>
        <v>0.75</v>
      </c>
      <c r="R133" s="152">
        <f t="shared" si="6"/>
        <v>0.75</v>
      </c>
      <c r="S133" s="152">
        <f t="shared" si="7"/>
        <v>0.75</v>
      </c>
      <c r="T133" s="18">
        <f t="shared" si="8"/>
        <v>1.5</v>
      </c>
    </row>
    <row r="134" spans="2:20" x14ac:dyDescent="0.25">
      <c r="B134" s="12" t="s">
        <v>286</v>
      </c>
      <c r="C134" s="136" t="s">
        <v>287</v>
      </c>
      <c r="D134" s="14" t="s">
        <v>15</v>
      </c>
      <c r="E134" s="14" t="s">
        <v>16</v>
      </c>
      <c r="F134" s="15">
        <v>43993</v>
      </c>
      <c r="G134" s="16">
        <v>0.04</v>
      </c>
      <c r="H134" s="15"/>
      <c r="I134" s="16"/>
      <c r="J134" s="15"/>
      <c r="K134" s="16"/>
      <c r="L134" s="15"/>
      <c r="M134" s="16"/>
      <c r="N134" s="17"/>
      <c r="O134" s="16"/>
      <c r="P134" s="16"/>
      <c r="Q134" s="152">
        <f t="shared" si="5"/>
        <v>0</v>
      </c>
      <c r="R134" s="152">
        <f t="shared" si="6"/>
        <v>0.04</v>
      </c>
      <c r="S134" s="152">
        <f t="shared" si="7"/>
        <v>0.04</v>
      </c>
      <c r="T134" s="18">
        <f t="shared" si="8"/>
        <v>0.04</v>
      </c>
    </row>
    <row r="135" spans="2:20" x14ac:dyDescent="0.25">
      <c r="B135" s="117" t="s">
        <v>288</v>
      </c>
      <c r="C135" s="136" t="s">
        <v>289</v>
      </c>
      <c r="D135" s="14" t="s">
        <v>27</v>
      </c>
      <c r="E135" s="14" t="s">
        <v>16</v>
      </c>
      <c r="F135" s="15"/>
      <c r="G135" s="16"/>
      <c r="H135" s="15"/>
      <c r="I135" s="16"/>
      <c r="J135" s="15"/>
      <c r="K135" s="16"/>
      <c r="L135" s="15"/>
      <c r="M135" s="16"/>
      <c r="N135" s="17"/>
      <c r="O135" s="16"/>
      <c r="P135" s="16"/>
      <c r="Q135" s="152">
        <f t="shared" si="5"/>
        <v>0</v>
      </c>
      <c r="R135" s="152">
        <f t="shared" si="6"/>
        <v>0</v>
      </c>
      <c r="S135" s="152">
        <f t="shared" si="7"/>
        <v>0</v>
      </c>
      <c r="T135" s="18">
        <f t="shared" si="8"/>
        <v>0</v>
      </c>
    </row>
    <row r="136" spans="2:20" x14ac:dyDescent="0.25">
      <c r="B136" s="117" t="s">
        <v>290</v>
      </c>
      <c r="C136" s="136" t="s">
        <v>291</v>
      </c>
      <c r="D136" s="14" t="s">
        <v>24</v>
      </c>
      <c r="E136" s="14" t="s">
        <v>16</v>
      </c>
      <c r="F136" s="15">
        <v>43844</v>
      </c>
      <c r="G136" s="16">
        <v>3.5</v>
      </c>
      <c r="H136" s="15">
        <v>44005</v>
      </c>
      <c r="I136" s="16">
        <v>4.5</v>
      </c>
      <c r="J136" s="15"/>
      <c r="K136" s="16"/>
      <c r="L136" s="15"/>
      <c r="M136" s="16"/>
      <c r="N136" s="17"/>
      <c r="O136" s="16"/>
      <c r="P136" s="16"/>
      <c r="Q136" s="152">
        <f t="shared" si="5"/>
        <v>3.5</v>
      </c>
      <c r="R136" s="152">
        <f t="shared" si="6"/>
        <v>3.5</v>
      </c>
      <c r="S136" s="152">
        <f t="shared" si="7"/>
        <v>8</v>
      </c>
      <c r="T136" s="18">
        <f t="shared" si="8"/>
        <v>8</v>
      </c>
    </row>
    <row r="137" spans="2:20" x14ac:dyDescent="0.25">
      <c r="B137" s="117" t="s">
        <v>292</v>
      </c>
      <c r="C137" s="136" t="s">
        <v>293</v>
      </c>
      <c r="D137" s="14" t="s">
        <v>15</v>
      </c>
      <c r="E137" s="14" t="s">
        <v>16</v>
      </c>
      <c r="F137" s="147">
        <v>43950</v>
      </c>
      <c r="G137" s="148">
        <f>1.28/4</f>
        <v>0.32</v>
      </c>
      <c r="H137" s="15">
        <v>44104</v>
      </c>
      <c r="I137" s="16">
        <v>0.31</v>
      </c>
      <c r="J137" s="15"/>
      <c r="K137" s="16"/>
      <c r="L137" s="15"/>
      <c r="M137" s="16"/>
      <c r="N137" s="17"/>
      <c r="O137" s="16"/>
      <c r="P137" s="16"/>
      <c r="Q137" s="152">
        <f t="shared" si="5"/>
        <v>0</v>
      </c>
      <c r="R137" s="152">
        <f t="shared" si="6"/>
        <v>0.32</v>
      </c>
      <c r="S137" s="152">
        <f t="shared" si="7"/>
        <v>0.32</v>
      </c>
      <c r="T137" s="18">
        <f t="shared" si="8"/>
        <v>0.63</v>
      </c>
    </row>
    <row r="138" spans="2:20" x14ac:dyDescent="0.25">
      <c r="B138" s="117" t="s">
        <v>294</v>
      </c>
      <c r="C138" s="136" t="s">
        <v>295</v>
      </c>
      <c r="D138" s="14" t="s">
        <v>15</v>
      </c>
      <c r="E138" s="14" t="s">
        <v>200</v>
      </c>
      <c r="F138" s="15"/>
      <c r="G138" s="16"/>
      <c r="H138" s="15"/>
      <c r="I138" s="16"/>
      <c r="J138" s="15"/>
      <c r="K138" s="16"/>
      <c r="L138" s="15"/>
      <c r="M138" s="16"/>
      <c r="N138" s="17"/>
      <c r="O138" s="16"/>
      <c r="P138" s="16"/>
      <c r="Q138" s="152">
        <f t="shared" si="5"/>
        <v>0</v>
      </c>
      <c r="R138" s="152">
        <f t="shared" si="6"/>
        <v>0</v>
      </c>
      <c r="S138" s="152">
        <f t="shared" si="7"/>
        <v>0</v>
      </c>
      <c r="T138" s="18">
        <f t="shared" si="8"/>
        <v>0</v>
      </c>
    </row>
    <row r="139" spans="2:20" x14ac:dyDescent="0.25">
      <c r="B139" s="117" t="s">
        <v>688</v>
      </c>
      <c r="C139" s="136" t="s">
        <v>689</v>
      </c>
      <c r="D139" s="14" t="s">
        <v>24</v>
      </c>
      <c r="E139" s="14" t="s">
        <v>16</v>
      </c>
      <c r="F139" s="15">
        <v>43899</v>
      </c>
      <c r="G139" s="16">
        <v>1.1000000000000001</v>
      </c>
      <c r="H139" s="15">
        <v>44019</v>
      </c>
      <c r="I139" s="16">
        <v>1.1000000000000001</v>
      </c>
      <c r="J139" s="15"/>
      <c r="K139" s="16"/>
      <c r="L139" s="15"/>
      <c r="M139" s="16"/>
      <c r="N139" s="17"/>
      <c r="O139" s="16"/>
      <c r="P139" s="16"/>
      <c r="Q139" s="152">
        <f t="shared" si="5"/>
        <v>1.1000000000000001</v>
      </c>
      <c r="R139" s="152">
        <f t="shared" si="6"/>
        <v>1.1000000000000001</v>
      </c>
      <c r="S139" s="152">
        <f t="shared" si="7"/>
        <v>2.2000000000000002</v>
      </c>
      <c r="T139" s="18">
        <f t="shared" si="8"/>
        <v>2.2000000000000002</v>
      </c>
    </row>
    <row r="140" spans="2:20" x14ac:dyDescent="0.25">
      <c r="B140" s="117" t="s">
        <v>296</v>
      </c>
      <c r="C140" s="136" t="s">
        <v>297</v>
      </c>
      <c r="D140" s="14" t="s">
        <v>15</v>
      </c>
      <c r="E140" s="14" t="s">
        <v>16</v>
      </c>
      <c r="F140" s="15">
        <v>43938</v>
      </c>
      <c r="G140" s="16">
        <v>8.3000000000000004E-2</v>
      </c>
      <c r="H140" s="46">
        <v>44041</v>
      </c>
      <c r="I140" s="47">
        <v>4.2999999999999997E-2</v>
      </c>
      <c r="J140" s="46"/>
      <c r="K140" s="47"/>
      <c r="L140" s="46"/>
      <c r="M140" s="47"/>
      <c r="N140" s="48"/>
      <c r="O140" s="47"/>
      <c r="P140" s="47"/>
      <c r="Q140" s="152">
        <f t="shared" si="5"/>
        <v>0</v>
      </c>
      <c r="R140" s="152">
        <f t="shared" si="6"/>
        <v>8.3000000000000004E-2</v>
      </c>
      <c r="S140" s="152">
        <f t="shared" si="7"/>
        <v>0.126</v>
      </c>
      <c r="T140" s="18">
        <f t="shared" si="8"/>
        <v>0.126</v>
      </c>
    </row>
    <row r="141" spans="2:20" x14ac:dyDescent="0.25">
      <c r="B141" s="117" t="s">
        <v>298</v>
      </c>
      <c r="C141" s="136" t="s">
        <v>299</v>
      </c>
      <c r="D141" s="14" t="s">
        <v>15</v>
      </c>
      <c r="E141" s="14" t="s">
        <v>21</v>
      </c>
      <c r="F141" s="15">
        <v>43966</v>
      </c>
      <c r="G141" s="16">
        <v>2</v>
      </c>
      <c r="H141" s="15"/>
      <c r="I141" s="16"/>
      <c r="J141" s="15"/>
      <c r="K141" s="16"/>
      <c r="L141" s="15"/>
      <c r="M141" s="16"/>
      <c r="N141" s="17"/>
      <c r="O141" s="16"/>
      <c r="P141" s="16"/>
      <c r="Q141" s="152">
        <f t="shared" si="5"/>
        <v>0</v>
      </c>
      <c r="R141" s="152">
        <f t="shared" si="6"/>
        <v>2</v>
      </c>
      <c r="S141" s="152">
        <f t="shared" si="7"/>
        <v>2</v>
      </c>
      <c r="T141" s="18">
        <f t="shared" si="8"/>
        <v>2</v>
      </c>
    </row>
    <row r="142" spans="2:20" x14ac:dyDescent="0.25">
      <c r="B142" s="117" t="s">
        <v>300</v>
      </c>
      <c r="C142" s="136" t="s">
        <v>301</v>
      </c>
      <c r="D142" s="14" t="s">
        <v>24</v>
      </c>
      <c r="E142" s="14" t="s">
        <v>16</v>
      </c>
      <c r="F142" s="15"/>
      <c r="G142" s="16"/>
      <c r="H142" s="15"/>
      <c r="I142" s="16"/>
      <c r="J142" s="15"/>
      <c r="K142" s="16"/>
      <c r="L142" s="15"/>
      <c r="M142" s="16"/>
      <c r="N142" s="17"/>
      <c r="O142" s="16"/>
      <c r="P142" s="16"/>
      <c r="Q142" s="152">
        <f t="shared" ref="Q142:Q205" si="9">IF(F142&lt;=Exp20Q1,G142,0)+IF(H142&lt;=Exp20Q1,I142,0)+IF(J142&lt;=Exp20Q1,K142,0)+IF(L142&lt;=Exp20Q1,M142,0)+IF(N142&lt;=Exp20Q1,O142,0)</f>
        <v>0</v>
      </c>
      <c r="R142" s="152">
        <f t="shared" ref="R142:R205" si="10">IF(F142&lt;=Exp20H1,G142,0)+IF(H142&lt;=Exp20H1,I142,0)+IF(J142&lt;=Exp20H1,K142,0)+IF(L142&lt;=Exp20H1,M142,0)+IF(N142&lt;=Exp20H1,O142,0)</f>
        <v>0</v>
      </c>
      <c r="S142" s="152">
        <f t="shared" ref="S142:S205" si="11">IF(F142&lt;=Exp20Q3,G142,0)+IF(H142&lt;=Exp20Q3,I142,0)+IF(J142&lt;=Exp20Q3,K142,0)+IF(L142&lt;=Exp20Q3,M142,0)+IF(N142&lt;=Exp20Q3,O142,0)</f>
        <v>0</v>
      </c>
      <c r="T142" s="18">
        <f t="shared" si="8"/>
        <v>0</v>
      </c>
    </row>
    <row r="143" spans="2:20" x14ac:dyDescent="0.25">
      <c r="B143" s="117" t="s">
        <v>302</v>
      </c>
      <c r="C143" s="136" t="s">
        <v>303</v>
      </c>
      <c r="D143" s="14" t="s">
        <v>15</v>
      </c>
      <c r="E143" s="14" t="s">
        <v>77</v>
      </c>
      <c r="F143" s="15">
        <v>43944</v>
      </c>
      <c r="G143" s="16">
        <v>12.64</v>
      </c>
      <c r="H143" s="15">
        <v>44056</v>
      </c>
      <c r="I143" s="16">
        <v>4.93</v>
      </c>
      <c r="J143" s="15"/>
      <c r="K143" s="16"/>
      <c r="L143" s="15"/>
      <c r="M143" s="16"/>
      <c r="N143" s="17"/>
      <c r="O143" s="16"/>
      <c r="P143" s="16"/>
      <c r="Q143" s="152">
        <f t="shared" si="9"/>
        <v>0</v>
      </c>
      <c r="R143" s="152">
        <f t="shared" si="10"/>
        <v>12.64</v>
      </c>
      <c r="S143" s="152">
        <f t="shared" si="11"/>
        <v>17.57</v>
      </c>
      <c r="T143" s="18">
        <f t="shared" ref="T143:T206" si="12">G143+I143+K143+M143+O143</f>
        <v>17.57</v>
      </c>
    </row>
    <row r="144" spans="2:20" x14ac:dyDescent="0.25">
      <c r="B144" s="117" t="s">
        <v>304</v>
      </c>
      <c r="C144" s="136" t="s">
        <v>305</v>
      </c>
      <c r="D144" s="14" t="s">
        <v>24</v>
      </c>
      <c r="E144" s="14" t="s">
        <v>16</v>
      </c>
      <c r="F144" s="15">
        <v>43983</v>
      </c>
      <c r="G144" s="16">
        <v>1.34</v>
      </c>
      <c r="H144" s="15"/>
      <c r="I144" s="16"/>
      <c r="J144" s="15"/>
      <c r="K144" s="16"/>
      <c r="L144" s="15"/>
      <c r="M144" s="16"/>
      <c r="N144" s="17"/>
      <c r="O144" s="16"/>
      <c r="P144" s="16"/>
      <c r="Q144" s="152">
        <f t="shared" si="9"/>
        <v>0</v>
      </c>
      <c r="R144" s="152">
        <f t="shared" si="10"/>
        <v>1.34</v>
      </c>
      <c r="S144" s="152">
        <f t="shared" si="11"/>
        <v>1.34</v>
      </c>
      <c r="T144" s="18">
        <f t="shared" si="12"/>
        <v>1.34</v>
      </c>
    </row>
    <row r="145" spans="2:20" x14ac:dyDescent="0.25">
      <c r="B145" s="117" t="s">
        <v>634</v>
      </c>
      <c r="C145" s="136" t="s">
        <v>307</v>
      </c>
      <c r="D145" s="14" t="s">
        <v>15</v>
      </c>
      <c r="E145" s="14" t="s">
        <v>16</v>
      </c>
      <c r="F145" s="15">
        <v>43895</v>
      </c>
      <c r="G145" s="16">
        <v>0.96299999999999997</v>
      </c>
      <c r="H145" s="15">
        <v>43984</v>
      </c>
      <c r="I145" s="16">
        <v>0.96299999999999997</v>
      </c>
      <c r="J145" s="15">
        <v>44076</v>
      </c>
      <c r="K145" s="16">
        <v>0.96299999999999997</v>
      </c>
      <c r="L145" s="15">
        <v>44167</v>
      </c>
      <c r="M145" s="16">
        <v>0.96299999999999997</v>
      </c>
      <c r="N145" s="17"/>
      <c r="O145" s="16"/>
      <c r="P145" s="16"/>
      <c r="Q145" s="152">
        <f t="shared" si="9"/>
        <v>0.96299999999999997</v>
      </c>
      <c r="R145" s="152">
        <f t="shared" si="10"/>
        <v>1.9259999999999999</v>
      </c>
      <c r="S145" s="152">
        <f t="shared" si="11"/>
        <v>2.8889999999999998</v>
      </c>
      <c r="T145" s="18">
        <f t="shared" si="12"/>
        <v>3.8519999999999999</v>
      </c>
    </row>
    <row r="146" spans="2:20" x14ac:dyDescent="0.25">
      <c r="B146" s="117" t="s">
        <v>308</v>
      </c>
      <c r="C146" s="136" t="s">
        <v>309</v>
      </c>
      <c r="D146" s="14" t="s">
        <v>15</v>
      </c>
      <c r="E146" s="14" t="s">
        <v>77</v>
      </c>
      <c r="F146" s="15"/>
      <c r="G146" s="16"/>
      <c r="H146" s="15"/>
      <c r="I146" s="16"/>
      <c r="J146" s="15"/>
      <c r="K146" s="16"/>
      <c r="L146" s="15"/>
      <c r="M146" s="16"/>
      <c r="N146" s="17"/>
      <c r="O146" s="16"/>
      <c r="P146" s="16"/>
      <c r="Q146" s="152">
        <f t="shared" si="9"/>
        <v>0</v>
      </c>
      <c r="R146" s="152">
        <f t="shared" si="10"/>
        <v>0</v>
      </c>
      <c r="S146" s="152">
        <f t="shared" si="11"/>
        <v>0</v>
      </c>
      <c r="T146" s="18">
        <f t="shared" si="12"/>
        <v>0</v>
      </c>
    </row>
    <row r="147" spans="2:20" x14ac:dyDescent="0.25">
      <c r="B147" s="117" t="s">
        <v>310</v>
      </c>
      <c r="C147" s="136" t="s">
        <v>311</v>
      </c>
      <c r="D147" s="14" t="s">
        <v>24</v>
      </c>
      <c r="E147" s="14" t="s">
        <v>16</v>
      </c>
      <c r="F147" s="15">
        <v>44015</v>
      </c>
      <c r="G147" s="16">
        <v>3.85</v>
      </c>
      <c r="H147" s="15"/>
      <c r="I147" s="16"/>
      <c r="J147" s="15"/>
      <c r="K147" s="16"/>
      <c r="L147" s="15"/>
      <c r="M147" s="16"/>
      <c r="N147" s="17"/>
      <c r="O147" s="16"/>
      <c r="P147" s="16"/>
      <c r="Q147" s="152">
        <f t="shared" si="9"/>
        <v>0</v>
      </c>
      <c r="R147" s="152">
        <f t="shared" si="10"/>
        <v>0</v>
      </c>
      <c r="S147" s="152">
        <f t="shared" si="11"/>
        <v>3.85</v>
      </c>
      <c r="T147" s="18">
        <f t="shared" si="12"/>
        <v>3.85</v>
      </c>
    </row>
    <row r="148" spans="2:20" x14ac:dyDescent="0.25">
      <c r="B148" s="117" t="s">
        <v>312</v>
      </c>
      <c r="C148" s="136" t="s">
        <v>313</v>
      </c>
      <c r="D148" s="14" t="s">
        <v>24</v>
      </c>
      <c r="E148" s="14" t="s">
        <v>16</v>
      </c>
      <c r="F148" s="15">
        <v>44019</v>
      </c>
      <c r="G148" s="16">
        <v>2.6</v>
      </c>
      <c r="H148" s="15">
        <v>44166</v>
      </c>
      <c r="I148" s="16">
        <v>2</v>
      </c>
      <c r="J148" s="15"/>
      <c r="K148" s="16"/>
      <c r="L148" s="15"/>
      <c r="M148" s="16"/>
      <c r="N148" s="17"/>
      <c r="O148" s="16"/>
      <c r="P148" s="16"/>
      <c r="Q148" s="152">
        <f t="shared" si="9"/>
        <v>0</v>
      </c>
      <c r="R148" s="152">
        <f t="shared" si="10"/>
        <v>0</v>
      </c>
      <c r="S148" s="152">
        <f t="shared" si="11"/>
        <v>2.6</v>
      </c>
      <c r="T148" s="18">
        <f t="shared" si="12"/>
        <v>4.5999999999999996</v>
      </c>
    </row>
    <row r="149" spans="2:20" x14ac:dyDescent="0.25">
      <c r="B149" s="117" t="s">
        <v>314</v>
      </c>
      <c r="C149" s="136" t="s">
        <v>315</v>
      </c>
      <c r="D149" s="14" t="s">
        <v>15</v>
      </c>
      <c r="E149" s="14" t="s">
        <v>16</v>
      </c>
      <c r="F149" s="15">
        <v>44005</v>
      </c>
      <c r="G149" s="16">
        <v>8.5800000000000001E-2</v>
      </c>
      <c r="H149" s="15">
        <v>44183</v>
      </c>
      <c r="I149" s="16">
        <v>5.0500000000000003E-2</v>
      </c>
      <c r="J149" s="15"/>
      <c r="K149" s="16"/>
      <c r="L149" s="15"/>
      <c r="M149" s="16"/>
      <c r="N149" s="17"/>
      <c r="O149" s="16"/>
      <c r="P149" s="16"/>
      <c r="Q149" s="152">
        <f t="shared" si="9"/>
        <v>0</v>
      </c>
      <c r="R149" s="152">
        <f t="shared" si="10"/>
        <v>0</v>
      </c>
      <c r="S149" s="152">
        <f t="shared" si="11"/>
        <v>8.5800000000000001E-2</v>
      </c>
      <c r="T149" s="18">
        <f t="shared" si="12"/>
        <v>0.1363</v>
      </c>
    </row>
    <row r="150" spans="2:20" x14ac:dyDescent="0.25">
      <c r="B150" s="117" t="s">
        <v>316</v>
      </c>
      <c r="C150" s="136" t="s">
        <v>317</v>
      </c>
      <c r="D150" s="39" t="s">
        <v>15</v>
      </c>
      <c r="E150" s="39" t="s">
        <v>16</v>
      </c>
      <c r="F150" s="15"/>
      <c r="G150" s="16"/>
      <c r="H150" s="15"/>
      <c r="I150" s="16"/>
      <c r="J150" s="15"/>
      <c r="K150" s="16"/>
      <c r="L150" s="15"/>
      <c r="M150" s="16"/>
      <c r="N150" s="17"/>
      <c r="O150" s="16"/>
      <c r="P150" s="16"/>
      <c r="Q150" s="152">
        <f t="shared" si="9"/>
        <v>0</v>
      </c>
      <c r="R150" s="152">
        <f t="shared" si="10"/>
        <v>0</v>
      </c>
      <c r="S150" s="152">
        <f t="shared" si="11"/>
        <v>0</v>
      </c>
      <c r="T150" s="18">
        <f t="shared" si="12"/>
        <v>0</v>
      </c>
    </row>
    <row r="151" spans="2:20" x14ac:dyDescent="0.25">
      <c r="B151" s="117" t="s">
        <v>318</v>
      </c>
      <c r="C151" s="136" t="s">
        <v>319</v>
      </c>
      <c r="D151" s="14" t="s">
        <v>15</v>
      </c>
      <c r="E151" s="14" t="s">
        <v>16</v>
      </c>
      <c r="F151" s="15"/>
      <c r="G151" s="16"/>
      <c r="H151" s="15"/>
      <c r="I151" s="16"/>
      <c r="J151" s="15"/>
      <c r="K151" s="16"/>
      <c r="L151" s="15"/>
      <c r="M151" s="16"/>
      <c r="N151" s="17"/>
      <c r="O151" s="16"/>
      <c r="P151" s="16"/>
      <c r="Q151" s="152">
        <f t="shared" si="9"/>
        <v>0</v>
      </c>
      <c r="R151" s="152">
        <f t="shared" si="10"/>
        <v>0</v>
      </c>
      <c r="S151" s="152">
        <f t="shared" si="11"/>
        <v>0</v>
      </c>
      <c r="T151" s="18">
        <f t="shared" si="12"/>
        <v>0</v>
      </c>
    </row>
    <row r="152" spans="2:20" x14ac:dyDescent="0.25">
      <c r="B152" s="117" t="s">
        <v>320</v>
      </c>
      <c r="C152" s="136" t="s">
        <v>321</v>
      </c>
      <c r="D152" s="14" t="s">
        <v>15</v>
      </c>
      <c r="E152" s="14" t="s">
        <v>16</v>
      </c>
      <c r="F152" s="15"/>
      <c r="G152" s="16"/>
      <c r="H152" s="15"/>
      <c r="I152" s="16"/>
      <c r="J152" s="15"/>
      <c r="K152" s="16"/>
      <c r="L152" s="15"/>
      <c r="M152" s="16"/>
      <c r="N152" s="17"/>
      <c r="O152" s="16"/>
      <c r="P152" s="16"/>
      <c r="Q152" s="152">
        <f t="shared" si="9"/>
        <v>0</v>
      </c>
      <c r="R152" s="152">
        <f t="shared" si="10"/>
        <v>0</v>
      </c>
      <c r="S152" s="152">
        <f t="shared" si="11"/>
        <v>0</v>
      </c>
      <c r="T152" s="18">
        <f t="shared" si="12"/>
        <v>0</v>
      </c>
    </row>
    <row r="153" spans="2:20" x14ac:dyDescent="0.25">
      <c r="B153" s="117" t="s">
        <v>322</v>
      </c>
      <c r="C153" s="136" t="s">
        <v>323</v>
      </c>
      <c r="D153" s="14" t="s">
        <v>15</v>
      </c>
      <c r="E153" s="14" t="s">
        <v>16</v>
      </c>
      <c r="F153" s="15">
        <v>43980</v>
      </c>
      <c r="G153" s="16">
        <v>1.3</v>
      </c>
      <c r="H153" s="15"/>
      <c r="I153" s="16"/>
      <c r="J153" s="15"/>
      <c r="K153" s="16"/>
      <c r="L153" s="15"/>
      <c r="M153" s="16"/>
      <c r="N153" s="17"/>
      <c r="O153" s="16"/>
      <c r="P153" s="16"/>
      <c r="Q153" s="152">
        <f t="shared" si="9"/>
        <v>0</v>
      </c>
      <c r="R153" s="152">
        <f t="shared" si="10"/>
        <v>1.3</v>
      </c>
      <c r="S153" s="152">
        <f t="shared" si="11"/>
        <v>1.3</v>
      </c>
      <c r="T153" s="18">
        <f t="shared" si="12"/>
        <v>1.3</v>
      </c>
    </row>
    <row r="154" spans="2:20" x14ac:dyDescent="0.25">
      <c r="B154" s="117" t="s">
        <v>610</v>
      </c>
      <c r="C154" s="136" t="s">
        <v>326</v>
      </c>
      <c r="D154" s="45" t="s">
        <v>15</v>
      </c>
      <c r="E154" s="45" t="s">
        <v>16</v>
      </c>
      <c r="F154" s="15"/>
      <c r="G154" s="16"/>
      <c r="H154" s="15"/>
      <c r="I154" s="16"/>
      <c r="J154" s="15"/>
      <c r="K154" s="16"/>
      <c r="L154" s="15"/>
      <c r="M154" s="16"/>
      <c r="N154" s="17"/>
      <c r="O154" s="16"/>
      <c r="P154" s="16"/>
      <c r="Q154" s="152">
        <f t="shared" si="9"/>
        <v>0</v>
      </c>
      <c r="R154" s="152">
        <f t="shared" si="10"/>
        <v>0</v>
      </c>
      <c r="S154" s="152">
        <f t="shared" si="11"/>
        <v>0</v>
      </c>
      <c r="T154" s="18">
        <f t="shared" si="12"/>
        <v>0</v>
      </c>
    </row>
    <row r="155" spans="2:20" x14ac:dyDescent="0.25">
      <c r="B155" s="117" t="s">
        <v>710</v>
      </c>
      <c r="C155" s="136" t="s">
        <v>328</v>
      </c>
      <c r="D155" s="45" t="s">
        <v>15</v>
      </c>
      <c r="E155" s="45" t="s">
        <v>16</v>
      </c>
      <c r="F155" s="153">
        <v>43999</v>
      </c>
      <c r="G155" s="154">
        <f>1.47*0.27591361</f>
        <v>0.40559300669999998</v>
      </c>
      <c r="H155" s="15"/>
      <c r="I155" s="16"/>
      <c r="J155" s="15"/>
      <c r="K155" s="16"/>
      <c r="L155" s="15"/>
      <c r="M155" s="63"/>
      <c r="N155" s="17"/>
      <c r="O155" s="16"/>
      <c r="P155" s="16"/>
      <c r="Q155" s="152">
        <f t="shared" si="9"/>
        <v>0</v>
      </c>
      <c r="R155" s="152">
        <f t="shared" si="10"/>
        <v>0.40559300669999998</v>
      </c>
      <c r="S155" s="152">
        <f t="shared" si="11"/>
        <v>0.40559300669999998</v>
      </c>
      <c r="T155" s="18">
        <f t="shared" si="12"/>
        <v>0.40559300669999998</v>
      </c>
    </row>
    <row r="156" spans="2:20" x14ac:dyDescent="0.25">
      <c r="B156" s="117" t="s">
        <v>711</v>
      </c>
      <c r="C156" s="136" t="s">
        <v>674</v>
      </c>
      <c r="D156" s="45" t="s">
        <v>15</v>
      </c>
      <c r="E156" s="45" t="s">
        <v>16</v>
      </c>
      <c r="F156" s="153">
        <v>43999</v>
      </c>
      <c r="G156" s="154">
        <f>1.47*0.27591361</f>
        <v>0.40559300669999998</v>
      </c>
      <c r="H156" s="15"/>
      <c r="I156" s="16"/>
      <c r="J156" s="15"/>
      <c r="K156" s="16"/>
      <c r="L156" s="15"/>
      <c r="M156" s="63"/>
      <c r="N156" s="17"/>
      <c r="O156" s="16"/>
      <c r="P156" s="16"/>
      <c r="Q156" s="152">
        <f t="shared" si="9"/>
        <v>0</v>
      </c>
      <c r="R156" s="152">
        <f t="shared" si="10"/>
        <v>0.40559300669999998</v>
      </c>
      <c r="S156" s="152">
        <f t="shared" si="11"/>
        <v>0.40559300669999998</v>
      </c>
      <c r="T156" s="18">
        <f t="shared" si="12"/>
        <v>0.40559300669999998</v>
      </c>
    </row>
    <row r="157" spans="2:20" x14ac:dyDescent="0.25">
      <c r="B157" s="117" t="s">
        <v>329</v>
      </c>
      <c r="C157" s="136" t="s">
        <v>330</v>
      </c>
      <c r="D157" s="45" t="s">
        <v>24</v>
      </c>
      <c r="E157" s="45" t="s">
        <v>16</v>
      </c>
      <c r="F157" s="15">
        <v>44013</v>
      </c>
      <c r="G157" s="16">
        <v>2</v>
      </c>
      <c r="H157" s="15"/>
      <c r="I157" s="16"/>
      <c r="J157" s="15"/>
      <c r="K157" s="16"/>
      <c r="L157" s="15"/>
      <c r="M157" s="63"/>
      <c r="N157" s="17"/>
      <c r="O157" s="16"/>
      <c r="P157" s="16"/>
      <c r="Q157" s="152">
        <f t="shared" si="9"/>
        <v>0</v>
      </c>
      <c r="R157" s="152">
        <f t="shared" si="10"/>
        <v>0</v>
      </c>
      <c r="S157" s="152">
        <f t="shared" si="11"/>
        <v>2</v>
      </c>
      <c r="T157" s="18">
        <f t="shared" si="12"/>
        <v>2</v>
      </c>
    </row>
    <row r="158" spans="2:20" x14ac:dyDescent="0.25">
      <c r="B158" s="117" t="s">
        <v>333</v>
      </c>
      <c r="C158" s="136" t="s">
        <v>334</v>
      </c>
      <c r="D158" s="14" t="s">
        <v>15</v>
      </c>
      <c r="E158" s="14" t="s">
        <v>16</v>
      </c>
      <c r="F158" s="15">
        <v>43951</v>
      </c>
      <c r="G158" s="16">
        <v>9.8000000000000007</v>
      </c>
      <c r="H158" s="15"/>
      <c r="I158" s="16"/>
      <c r="J158" s="15"/>
      <c r="K158" s="16"/>
      <c r="L158" s="15"/>
      <c r="M158" s="63"/>
      <c r="N158" s="17"/>
      <c r="O158" s="16"/>
      <c r="P158" s="16"/>
      <c r="Q158" s="152">
        <f t="shared" si="9"/>
        <v>0</v>
      </c>
      <c r="R158" s="152">
        <f t="shared" si="10"/>
        <v>9.8000000000000007</v>
      </c>
      <c r="S158" s="152">
        <f t="shared" si="11"/>
        <v>9.8000000000000007</v>
      </c>
      <c r="T158" s="18">
        <f t="shared" si="12"/>
        <v>9.8000000000000007</v>
      </c>
    </row>
    <row r="159" spans="2:20" x14ac:dyDescent="0.25">
      <c r="B159" s="117" t="s">
        <v>335</v>
      </c>
      <c r="C159" s="136" t="s">
        <v>336</v>
      </c>
      <c r="D159" s="14" t="s">
        <v>15</v>
      </c>
      <c r="E159" s="14" t="s">
        <v>77</v>
      </c>
      <c r="F159" s="15">
        <v>44014</v>
      </c>
      <c r="G159" s="16">
        <v>32</v>
      </c>
      <c r="H159" s="15">
        <v>44161</v>
      </c>
      <c r="I159" s="16">
        <v>17</v>
      </c>
      <c r="J159" s="15"/>
      <c r="K159" s="16"/>
      <c r="L159" s="15"/>
      <c r="M159" s="63"/>
      <c r="N159" s="17"/>
      <c r="O159" s="16"/>
      <c r="P159" s="16"/>
      <c r="Q159" s="152">
        <f t="shared" si="9"/>
        <v>0</v>
      </c>
      <c r="R159" s="152">
        <f t="shared" si="10"/>
        <v>0</v>
      </c>
      <c r="S159" s="152">
        <f t="shared" si="11"/>
        <v>32</v>
      </c>
      <c r="T159" s="18">
        <f t="shared" si="12"/>
        <v>49</v>
      </c>
    </row>
    <row r="160" spans="2:20" x14ac:dyDescent="0.25">
      <c r="B160" s="117" t="s">
        <v>337</v>
      </c>
      <c r="C160" s="136" t="s">
        <v>338</v>
      </c>
      <c r="D160" s="14" t="s">
        <v>24</v>
      </c>
      <c r="E160" s="14" t="s">
        <v>16</v>
      </c>
      <c r="F160" s="15"/>
      <c r="G160" s="16"/>
      <c r="H160" s="15"/>
      <c r="I160" s="16"/>
      <c r="J160" s="15"/>
      <c r="K160" s="16"/>
      <c r="L160" s="15"/>
      <c r="M160" s="63"/>
      <c r="N160" s="17"/>
      <c r="O160" s="16"/>
      <c r="P160" s="16"/>
      <c r="Q160" s="152">
        <f t="shared" si="9"/>
        <v>0</v>
      </c>
      <c r="R160" s="152">
        <f t="shared" si="10"/>
        <v>0</v>
      </c>
      <c r="S160" s="152">
        <f t="shared" si="11"/>
        <v>0</v>
      </c>
      <c r="T160" s="18">
        <f t="shared" si="12"/>
        <v>0</v>
      </c>
    </row>
    <row r="161" spans="2:20" x14ac:dyDescent="0.25">
      <c r="B161" s="117" t="s">
        <v>339</v>
      </c>
      <c r="C161" s="136" t="s">
        <v>340</v>
      </c>
      <c r="D161" s="14" t="s">
        <v>15</v>
      </c>
      <c r="E161" s="14" t="s">
        <v>16</v>
      </c>
      <c r="F161" s="153">
        <v>43970</v>
      </c>
      <c r="G161" s="154">
        <f>0.46*0.99796872</f>
        <v>0.45906561120000006</v>
      </c>
      <c r="H161" s="153">
        <v>44127</v>
      </c>
      <c r="I161" s="154">
        <f>0.46*0.99796872</f>
        <v>0.45906561120000006</v>
      </c>
      <c r="J161" s="40"/>
      <c r="K161" s="41"/>
      <c r="L161" s="40"/>
      <c r="M161" s="79"/>
      <c r="N161" s="42"/>
      <c r="O161" s="41"/>
      <c r="P161" s="41"/>
      <c r="Q161" s="152">
        <f t="shared" si="9"/>
        <v>0</v>
      </c>
      <c r="R161" s="152">
        <f t="shared" si="10"/>
        <v>0.45906561120000006</v>
      </c>
      <c r="S161" s="152">
        <f t="shared" si="11"/>
        <v>0.45906561120000006</v>
      </c>
      <c r="T161" s="18">
        <f t="shared" si="12"/>
        <v>0.91813122240000011</v>
      </c>
    </row>
    <row r="162" spans="2:20" x14ac:dyDescent="0.25">
      <c r="B162" s="117" t="s">
        <v>730</v>
      </c>
      <c r="C162" s="136" t="s">
        <v>729</v>
      </c>
      <c r="D162" s="14" t="s">
        <v>15</v>
      </c>
      <c r="E162" s="14" t="s">
        <v>16</v>
      </c>
      <c r="F162" s="153">
        <v>43970</v>
      </c>
      <c r="G162" s="154">
        <f>0.46*0.99796872</f>
        <v>0.45906561120000006</v>
      </c>
      <c r="H162" s="153">
        <v>44127</v>
      </c>
      <c r="I162" s="154">
        <f>0.46*0.99796872</f>
        <v>0.45906561120000006</v>
      </c>
      <c r="J162" s="40"/>
      <c r="K162" s="41"/>
      <c r="L162" s="40"/>
      <c r="M162" s="79"/>
      <c r="N162" s="42"/>
      <c r="O162" s="41"/>
      <c r="P162" s="41"/>
      <c r="Q162" s="152">
        <f t="shared" si="9"/>
        <v>0</v>
      </c>
      <c r="R162" s="152">
        <f t="shared" si="10"/>
        <v>0.45906561120000006</v>
      </c>
      <c r="S162" s="152">
        <f t="shared" si="11"/>
        <v>0.45906561120000006</v>
      </c>
      <c r="T162" s="18">
        <f t="shared" si="12"/>
        <v>0.91813122240000011</v>
      </c>
    </row>
    <row r="163" spans="2:20" x14ac:dyDescent="0.25">
      <c r="B163" s="117" t="s">
        <v>341</v>
      </c>
      <c r="C163" s="136" t="s">
        <v>342</v>
      </c>
      <c r="D163" s="14" t="s">
        <v>15</v>
      </c>
      <c r="E163" s="14" t="s">
        <v>21</v>
      </c>
      <c r="F163" s="15">
        <v>43948</v>
      </c>
      <c r="G163" s="16">
        <v>2.7</v>
      </c>
      <c r="H163" s="15"/>
      <c r="I163" s="16"/>
      <c r="J163" s="15"/>
      <c r="K163" s="16"/>
      <c r="L163" s="15"/>
      <c r="M163" s="63"/>
      <c r="N163" s="17"/>
      <c r="O163" s="16"/>
      <c r="P163" s="16"/>
      <c r="Q163" s="152">
        <f t="shared" si="9"/>
        <v>0</v>
      </c>
      <c r="R163" s="152">
        <f t="shared" si="10"/>
        <v>2.7</v>
      </c>
      <c r="S163" s="152">
        <f t="shared" si="11"/>
        <v>2.7</v>
      </c>
      <c r="T163" s="18">
        <f t="shared" si="12"/>
        <v>2.7</v>
      </c>
    </row>
    <row r="164" spans="2:20" x14ac:dyDescent="0.25">
      <c r="B164" s="117" t="s">
        <v>343</v>
      </c>
      <c r="C164" s="136" t="s">
        <v>344</v>
      </c>
      <c r="D164" s="14" t="s">
        <v>15</v>
      </c>
      <c r="E164" s="14" t="s">
        <v>16</v>
      </c>
      <c r="F164" s="15">
        <v>44053</v>
      </c>
      <c r="G164" s="16">
        <v>2.2599999999999998</v>
      </c>
      <c r="H164" s="15"/>
      <c r="I164" s="16"/>
      <c r="J164" s="15"/>
      <c r="K164" s="16"/>
      <c r="L164" s="15"/>
      <c r="M164" s="63"/>
      <c r="N164" s="17"/>
      <c r="O164" s="16"/>
      <c r="P164" s="16"/>
      <c r="Q164" s="152">
        <f t="shared" si="9"/>
        <v>0</v>
      </c>
      <c r="R164" s="152">
        <f t="shared" si="10"/>
        <v>0</v>
      </c>
      <c r="S164" s="152">
        <f t="shared" si="11"/>
        <v>2.2599999999999998</v>
      </c>
      <c r="T164" s="18">
        <f t="shared" si="12"/>
        <v>2.2599999999999998</v>
      </c>
    </row>
    <row r="165" spans="2:20" x14ac:dyDescent="0.25">
      <c r="B165" s="117" t="s">
        <v>345</v>
      </c>
      <c r="C165" s="136" t="s">
        <v>346</v>
      </c>
      <c r="D165" s="14" t="s">
        <v>15</v>
      </c>
      <c r="E165" s="14" t="s">
        <v>16</v>
      </c>
      <c r="F165" s="46"/>
      <c r="G165" s="47"/>
      <c r="H165" s="46"/>
      <c r="I165" s="47"/>
      <c r="J165" s="46"/>
      <c r="K165" s="47"/>
      <c r="L165" s="46"/>
      <c r="M165" s="80"/>
      <c r="N165" s="48"/>
      <c r="O165" s="47"/>
      <c r="P165" s="47"/>
      <c r="Q165" s="152">
        <f t="shared" si="9"/>
        <v>0</v>
      </c>
      <c r="R165" s="152">
        <f t="shared" si="10"/>
        <v>0</v>
      </c>
      <c r="S165" s="152">
        <f t="shared" si="11"/>
        <v>0</v>
      </c>
      <c r="T165" s="18">
        <f t="shared" si="12"/>
        <v>0</v>
      </c>
    </row>
    <row r="166" spans="2:20" x14ac:dyDescent="0.25">
      <c r="B166" s="117" t="s">
        <v>347</v>
      </c>
      <c r="C166" s="136" t="s">
        <v>348</v>
      </c>
      <c r="D166" s="14" t="s">
        <v>15</v>
      </c>
      <c r="E166" s="14" t="s">
        <v>16</v>
      </c>
      <c r="F166" s="46"/>
      <c r="G166" s="47"/>
      <c r="H166" s="46"/>
      <c r="I166" s="47"/>
      <c r="J166" s="46"/>
      <c r="K166" s="47"/>
      <c r="L166" s="46"/>
      <c r="M166" s="80"/>
      <c r="N166" s="48"/>
      <c r="O166" s="47"/>
      <c r="P166" s="47"/>
      <c r="Q166" s="152">
        <f t="shared" si="9"/>
        <v>0</v>
      </c>
      <c r="R166" s="152">
        <f t="shared" si="10"/>
        <v>0</v>
      </c>
      <c r="S166" s="152">
        <f t="shared" si="11"/>
        <v>0</v>
      </c>
      <c r="T166" s="18">
        <f t="shared" si="12"/>
        <v>0</v>
      </c>
    </row>
    <row r="167" spans="2:20" x14ac:dyDescent="0.25">
      <c r="B167" s="117" t="s">
        <v>696</v>
      </c>
      <c r="C167" s="136" t="s">
        <v>350</v>
      </c>
      <c r="D167" s="14" t="s">
        <v>15</v>
      </c>
      <c r="E167" s="14" t="s">
        <v>21</v>
      </c>
      <c r="F167" s="15">
        <v>43893</v>
      </c>
      <c r="G167" s="16">
        <v>2.95</v>
      </c>
      <c r="H167" s="15"/>
      <c r="I167" s="16"/>
      <c r="J167" s="15"/>
      <c r="K167" s="16"/>
      <c r="L167" s="15"/>
      <c r="M167" s="63"/>
      <c r="N167" s="17"/>
      <c r="O167" s="16"/>
      <c r="P167" s="16"/>
      <c r="Q167" s="152">
        <f t="shared" si="9"/>
        <v>2.95</v>
      </c>
      <c r="R167" s="152">
        <f t="shared" si="10"/>
        <v>2.95</v>
      </c>
      <c r="S167" s="152">
        <f t="shared" si="11"/>
        <v>2.95</v>
      </c>
      <c r="T167" s="18">
        <f t="shared" si="12"/>
        <v>2.95</v>
      </c>
    </row>
    <row r="168" spans="2:20" x14ac:dyDescent="0.25">
      <c r="B168" s="117" t="s">
        <v>353</v>
      </c>
      <c r="C168" s="136" t="s">
        <v>354</v>
      </c>
      <c r="D168" s="14" t="s">
        <v>24</v>
      </c>
      <c r="E168" s="14" t="s">
        <v>16</v>
      </c>
      <c r="F168" s="15">
        <v>43984</v>
      </c>
      <c r="G168" s="16">
        <v>0.2</v>
      </c>
      <c r="H168" s="15">
        <v>44172</v>
      </c>
      <c r="I168" s="16">
        <v>0.4</v>
      </c>
      <c r="J168" s="15"/>
      <c r="K168" s="16"/>
      <c r="L168" s="15"/>
      <c r="M168" s="63"/>
      <c r="N168" s="17"/>
      <c r="O168" s="16"/>
      <c r="P168" s="16"/>
      <c r="Q168" s="152">
        <f t="shared" si="9"/>
        <v>0</v>
      </c>
      <c r="R168" s="152">
        <f t="shared" si="10"/>
        <v>0.2</v>
      </c>
      <c r="S168" s="152">
        <f t="shared" si="11"/>
        <v>0.2</v>
      </c>
      <c r="T168" s="18">
        <f t="shared" si="12"/>
        <v>0.60000000000000009</v>
      </c>
    </row>
    <row r="169" spans="2:20" x14ac:dyDescent="0.25">
      <c r="B169" s="117" t="s">
        <v>357</v>
      </c>
      <c r="C169" s="136" t="s">
        <v>358</v>
      </c>
      <c r="D169" s="14" t="s">
        <v>15</v>
      </c>
      <c r="E169" s="14" t="s">
        <v>77</v>
      </c>
      <c r="F169" s="15">
        <v>43916</v>
      </c>
      <c r="G169" s="16">
        <v>13.5</v>
      </c>
      <c r="H169" s="15">
        <v>44056</v>
      </c>
      <c r="I169" s="16">
        <v>6</v>
      </c>
      <c r="J169" s="15"/>
      <c r="K169" s="16"/>
      <c r="L169" s="15"/>
      <c r="M169" s="63"/>
      <c r="N169" s="17"/>
      <c r="O169" s="16"/>
      <c r="P169" s="16"/>
      <c r="Q169" s="152">
        <f t="shared" si="9"/>
        <v>0</v>
      </c>
      <c r="R169" s="152">
        <f t="shared" si="10"/>
        <v>13.5</v>
      </c>
      <c r="S169" s="152">
        <f t="shared" si="11"/>
        <v>19.5</v>
      </c>
      <c r="T169" s="18">
        <f t="shared" si="12"/>
        <v>19.5</v>
      </c>
    </row>
    <row r="170" spans="2:20" x14ac:dyDescent="0.25">
      <c r="B170" s="117" t="s">
        <v>359</v>
      </c>
      <c r="C170" s="136" t="s">
        <v>360</v>
      </c>
      <c r="D170" s="14" t="s">
        <v>24</v>
      </c>
      <c r="E170" s="14" t="s">
        <v>16</v>
      </c>
      <c r="F170" s="15">
        <v>44020</v>
      </c>
      <c r="G170" s="16">
        <v>1.18</v>
      </c>
      <c r="H170" s="15">
        <v>44174</v>
      </c>
      <c r="I170" s="16">
        <v>1.48</v>
      </c>
      <c r="J170" s="15"/>
      <c r="K170" s="16"/>
      <c r="L170" s="15"/>
      <c r="M170" s="63"/>
      <c r="N170" s="17"/>
      <c r="O170" s="16"/>
      <c r="P170" s="16"/>
      <c r="Q170" s="152">
        <f t="shared" si="9"/>
        <v>0</v>
      </c>
      <c r="R170" s="152">
        <f t="shared" si="10"/>
        <v>0</v>
      </c>
      <c r="S170" s="152">
        <f t="shared" si="11"/>
        <v>1.18</v>
      </c>
      <c r="T170" s="18">
        <f t="shared" si="12"/>
        <v>2.66</v>
      </c>
    </row>
    <row r="171" spans="2:20" x14ac:dyDescent="0.25">
      <c r="B171" s="117" t="s">
        <v>361</v>
      </c>
      <c r="C171" s="136" t="s">
        <v>362</v>
      </c>
      <c r="D171" s="14" t="s">
        <v>24</v>
      </c>
      <c r="E171" s="14" t="s">
        <v>16</v>
      </c>
      <c r="F171" s="15"/>
      <c r="G171" s="16"/>
      <c r="H171" s="15"/>
      <c r="I171" s="16"/>
      <c r="J171" s="15"/>
      <c r="K171" s="16"/>
      <c r="L171" s="15"/>
      <c r="M171" s="63"/>
      <c r="N171" s="17"/>
      <c r="O171" s="16"/>
      <c r="P171" s="16"/>
      <c r="Q171" s="152">
        <f t="shared" si="9"/>
        <v>0</v>
      </c>
      <c r="R171" s="152">
        <f t="shared" si="10"/>
        <v>0</v>
      </c>
      <c r="S171" s="152">
        <f t="shared" si="11"/>
        <v>0</v>
      </c>
      <c r="T171" s="18">
        <f t="shared" si="12"/>
        <v>0</v>
      </c>
    </row>
    <row r="172" spans="2:20" x14ac:dyDescent="0.25">
      <c r="B172" s="117" t="s">
        <v>366</v>
      </c>
      <c r="C172" s="136" t="s">
        <v>367</v>
      </c>
      <c r="D172" s="14" t="s">
        <v>15</v>
      </c>
      <c r="E172" s="14" t="s">
        <v>16</v>
      </c>
      <c r="F172" s="15">
        <v>44012</v>
      </c>
      <c r="G172" s="16">
        <v>0.85</v>
      </c>
      <c r="H172" s="15"/>
      <c r="I172" s="16"/>
      <c r="J172" s="15"/>
      <c r="K172" s="16"/>
      <c r="L172" s="15"/>
      <c r="M172" s="63"/>
      <c r="N172" s="17"/>
      <c r="O172" s="16"/>
      <c r="P172" s="16"/>
      <c r="Q172" s="152">
        <f t="shared" si="9"/>
        <v>0</v>
      </c>
      <c r="R172" s="152">
        <f t="shared" si="10"/>
        <v>0</v>
      </c>
      <c r="S172" s="152">
        <f t="shared" si="11"/>
        <v>0.85</v>
      </c>
      <c r="T172" s="18">
        <f t="shared" si="12"/>
        <v>0.85</v>
      </c>
    </row>
    <row r="173" spans="2:20" x14ac:dyDescent="0.25">
      <c r="B173" s="117" t="s">
        <v>370</v>
      </c>
      <c r="C173" s="136" t="s">
        <v>721</v>
      </c>
      <c r="D173" s="14" t="s">
        <v>15</v>
      </c>
      <c r="E173" s="14" t="s">
        <v>56</v>
      </c>
      <c r="F173" s="15">
        <v>43916</v>
      </c>
      <c r="G173" s="16">
        <v>0.25969999999999999</v>
      </c>
      <c r="H173" s="15">
        <v>44063</v>
      </c>
      <c r="I173" s="16">
        <v>5.3699999999999998E-2</v>
      </c>
      <c r="J173" s="15"/>
      <c r="K173" s="16"/>
      <c r="L173" s="15"/>
      <c r="M173" s="63"/>
      <c r="N173" s="17"/>
      <c r="O173" s="16"/>
      <c r="P173" s="16"/>
      <c r="Q173" s="152">
        <f t="shared" si="9"/>
        <v>0</v>
      </c>
      <c r="R173" s="152">
        <f t="shared" si="10"/>
        <v>0.25969999999999999</v>
      </c>
      <c r="S173" s="152">
        <f t="shared" si="11"/>
        <v>0.31340000000000001</v>
      </c>
      <c r="T173" s="18">
        <f t="shared" si="12"/>
        <v>0.31340000000000001</v>
      </c>
    </row>
    <row r="174" spans="2:20" x14ac:dyDescent="0.25">
      <c r="B174" s="117" t="s">
        <v>368</v>
      </c>
      <c r="C174" s="136" t="s">
        <v>369</v>
      </c>
      <c r="D174" s="14" t="s">
        <v>27</v>
      </c>
      <c r="E174" s="14" t="s">
        <v>16</v>
      </c>
      <c r="F174" s="15">
        <v>43943</v>
      </c>
      <c r="G174" s="16">
        <v>1</v>
      </c>
      <c r="H174" s="15">
        <v>44174</v>
      </c>
      <c r="I174" s="16">
        <v>0.5</v>
      </c>
      <c r="J174" s="15"/>
      <c r="K174" s="16"/>
      <c r="L174" s="15"/>
      <c r="M174" s="16"/>
      <c r="N174" s="17"/>
      <c r="O174" s="16"/>
      <c r="P174" s="16"/>
      <c r="Q174" s="152">
        <f t="shared" si="9"/>
        <v>0</v>
      </c>
      <c r="R174" s="152">
        <f t="shared" si="10"/>
        <v>1</v>
      </c>
      <c r="S174" s="152">
        <f t="shared" si="11"/>
        <v>1</v>
      </c>
      <c r="T174" s="18">
        <f t="shared" si="12"/>
        <v>1.5</v>
      </c>
    </row>
    <row r="175" spans="2:20" x14ac:dyDescent="0.25">
      <c r="B175" s="117" t="s">
        <v>372</v>
      </c>
      <c r="C175" s="136" t="s">
        <v>373</v>
      </c>
      <c r="D175" s="14" t="s">
        <v>24</v>
      </c>
      <c r="E175" s="14" t="s">
        <v>16</v>
      </c>
      <c r="F175" s="15">
        <v>44081</v>
      </c>
      <c r="G175" s="16">
        <v>1.1499999999999999</v>
      </c>
      <c r="H175" s="15"/>
      <c r="I175" s="16"/>
      <c r="J175" s="15"/>
      <c r="K175" s="16"/>
      <c r="L175" s="15"/>
      <c r="M175" s="63"/>
      <c r="N175" s="17"/>
      <c r="O175" s="16"/>
      <c r="P175" s="16"/>
      <c r="Q175" s="152">
        <f t="shared" si="9"/>
        <v>0</v>
      </c>
      <c r="R175" s="152">
        <f t="shared" si="10"/>
        <v>0</v>
      </c>
      <c r="S175" s="152">
        <f t="shared" si="11"/>
        <v>1.1499999999999999</v>
      </c>
      <c r="T175" s="18">
        <f t="shared" si="12"/>
        <v>1.1499999999999999</v>
      </c>
    </row>
    <row r="176" spans="2:20" x14ac:dyDescent="0.25">
      <c r="B176" s="117" t="s">
        <v>681</v>
      </c>
      <c r="C176" s="136" t="s">
        <v>682</v>
      </c>
      <c r="D176" s="14" t="s">
        <v>15</v>
      </c>
      <c r="E176" s="14" t="s">
        <v>16</v>
      </c>
      <c r="F176" s="15"/>
      <c r="G176" s="16"/>
      <c r="H176" s="15"/>
      <c r="I176" s="16"/>
      <c r="J176" s="15"/>
      <c r="K176" s="16"/>
      <c r="L176" s="15"/>
      <c r="M176" s="63"/>
      <c r="N176" s="17"/>
      <c r="O176" s="16"/>
      <c r="P176" s="16"/>
      <c r="Q176" s="152">
        <f t="shared" si="9"/>
        <v>0</v>
      </c>
      <c r="R176" s="152">
        <f t="shared" si="10"/>
        <v>0</v>
      </c>
      <c r="S176" s="152">
        <f t="shared" si="11"/>
        <v>0</v>
      </c>
      <c r="T176" s="18">
        <f t="shared" si="12"/>
        <v>0</v>
      </c>
    </row>
    <row r="177" spans="2:20" x14ac:dyDescent="0.25">
      <c r="B177" s="117" t="s">
        <v>620</v>
      </c>
      <c r="C177" s="136" t="s">
        <v>375</v>
      </c>
      <c r="D177" s="14" t="s">
        <v>15</v>
      </c>
      <c r="E177" s="14" t="s">
        <v>16</v>
      </c>
      <c r="F177" s="15"/>
      <c r="G177" s="16"/>
      <c r="H177" s="15"/>
      <c r="I177" s="16"/>
      <c r="J177" s="15"/>
      <c r="K177" s="16"/>
      <c r="L177" s="15"/>
      <c r="M177" s="63"/>
      <c r="N177" s="17"/>
      <c r="O177" s="16"/>
      <c r="P177" s="16"/>
      <c r="Q177" s="152">
        <f t="shared" si="9"/>
        <v>0</v>
      </c>
      <c r="R177" s="152">
        <f t="shared" si="10"/>
        <v>0</v>
      </c>
      <c r="S177" s="152">
        <f t="shared" si="11"/>
        <v>0</v>
      </c>
      <c r="T177" s="18">
        <f t="shared" si="12"/>
        <v>0</v>
      </c>
    </row>
    <row r="178" spans="2:20" x14ac:dyDescent="0.25">
      <c r="B178" s="117" t="s">
        <v>376</v>
      </c>
      <c r="C178" s="136" t="s">
        <v>377</v>
      </c>
      <c r="D178" s="14" t="s">
        <v>15</v>
      </c>
      <c r="E178" s="14" t="s">
        <v>77</v>
      </c>
      <c r="F178" s="15">
        <v>43937</v>
      </c>
      <c r="G178" s="16">
        <v>101.6</v>
      </c>
      <c r="H178" s="15">
        <v>44063</v>
      </c>
      <c r="I178" s="16">
        <v>73</v>
      </c>
      <c r="J178" s="15"/>
      <c r="K178" s="16"/>
      <c r="L178" s="15"/>
      <c r="M178" s="63"/>
      <c r="N178" s="17"/>
      <c r="O178" s="16"/>
      <c r="P178" s="16"/>
      <c r="Q178" s="152">
        <f t="shared" si="9"/>
        <v>0</v>
      </c>
      <c r="R178" s="152">
        <f t="shared" si="10"/>
        <v>101.6</v>
      </c>
      <c r="S178" s="152">
        <f t="shared" si="11"/>
        <v>174.6</v>
      </c>
      <c r="T178" s="18">
        <f t="shared" si="12"/>
        <v>174.6</v>
      </c>
    </row>
    <row r="179" spans="2:20" x14ac:dyDescent="0.25">
      <c r="B179" s="117" t="s">
        <v>378</v>
      </c>
      <c r="C179" s="136" t="s">
        <v>379</v>
      </c>
      <c r="D179" s="14" t="s">
        <v>15</v>
      </c>
      <c r="E179" s="14" t="s">
        <v>16</v>
      </c>
      <c r="F179" s="15">
        <v>43833</v>
      </c>
      <c r="G179" s="16">
        <v>0.2727</v>
      </c>
      <c r="H179" s="15">
        <v>44011</v>
      </c>
      <c r="I179" s="16">
        <v>0.7792</v>
      </c>
      <c r="J179" s="15"/>
      <c r="K179" s="16"/>
      <c r="L179" s="15"/>
      <c r="M179" s="63"/>
      <c r="N179" s="17"/>
      <c r="O179" s="16"/>
      <c r="P179" s="16"/>
      <c r="Q179" s="152">
        <f t="shared" si="9"/>
        <v>0.2727</v>
      </c>
      <c r="R179" s="152">
        <f t="shared" si="10"/>
        <v>0.2727</v>
      </c>
      <c r="S179" s="152">
        <f t="shared" si="11"/>
        <v>1.0519000000000001</v>
      </c>
      <c r="T179" s="18">
        <f t="shared" si="12"/>
        <v>1.0519000000000001</v>
      </c>
    </row>
    <row r="180" spans="2:20" x14ac:dyDescent="0.25">
      <c r="B180" s="117" t="s">
        <v>382</v>
      </c>
      <c r="C180" s="136" t="s">
        <v>381</v>
      </c>
      <c r="D180" s="45" t="s">
        <v>15</v>
      </c>
      <c r="E180" s="45" t="s">
        <v>16</v>
      </c>
      <c r="F180" s="15">
        <v>43945</v>
      </c>
      <c r="G180" s="16">
        <v>0.36199999999999999</v>
      </c>
      <c r="H180" s="15">
        <v>44042</v>
      </c>
      <c r="I180" s="16">
        <f>0.136/0.90385</f>
        <v>0.15046744481938376</v>
      </c>
      <c r="J180" s="15"/>
      <c r="K180" s="16"/>
      <c r="L180" s="15"/>
      <c r="M180" s="63"/>
      <c r="N180" s="17"/>
      <c r="O180" s="16"/>
      <c r="P180" s="16"/>
      <c r="Q180" s="152">
        <f t="shared" si="9"/>
        <v>0</v>
      </c>
      <c r="R180" s="152">
        <f t="shared" si="10"/>
        <v>0.36199999999999999</v>
      </c>
      <c r="S180" s="152">
        <f t="shared" si="11"/>
        <v>0.51246744481938378</v>
      </c>
      <c r="T180" s="18">
        <f t="shared" si="12"/>
        <v>0.51246744481938378</v>
      </c>
    </row>
    <row r="181" spans="2:20" x14ac:dyDescent="0.25">
      <c r="B181" s="117" t="s">
        <v>382</v>
      </c>
      <c r="C181" s="136" t="s">
        <v>383</v>
      </c>
      <c r="D181" s="45" t="s">
        <v>15</v>
      </c>
      <c r="E181" s="14" t="s">
        <v>77</v>
      </c>
      <c r="F181" s="15">
        <v>43945</v>
      </c>
      <c r="G181" s="16">
        <v>32.1</v>
      </c>
      <c r="H181" s="15">
        <v>44042</v>
      </c>
      <c r="I181" s="16">
        <v>13.6</v>
      </c>
      <c r="J181" s="15"/>
      <c r="K181" s="16"/>
      <c r="L181" s="15"/>
      <c r="M181" s="63"/>
      <c r="N181" s="17"/>
      <c r="O181" s="16"/>
      <c r="P181" s="16"/>
      <c r="Q181" s="152">
        <f t="shared" si="9"/>
        <v>0</v>
      </c>
      <c r="R181" s="152">
        <f t="shared" si="10"/>
        <v>32.1</v>
      </c>
      <c r="S181" s="152">
        <f t="shared" si="11"/>
        <v>45.7</v>
      </c>
      <c r="T181" s="18">
        <f t="shared" si="12"/>
        <v>45.7</v>
      </c>
    </row>
    <row r="182" spans="2:20" x14ac:dyDescent="0.25">
      <c r="B182" s="117" t="s">
        <v>384</v>
      </c>
      <c r="C182" s="136" t="s">
        <v>385</v>
      </c>
      <c r="D182" s="45" t="s">
        <v>24</v>
      </c>
      <c r="E182" s="14" t="s">
        <v>16</v>
      </c>
      <c r="F182" s="15"/>
      <c r="G182" s="16"/>
      <c r="H182" s="15"/>
      <c r="I182" s="16"/>
      <c r="J182" s="15"/>
      <c r="K182" s="16"/>
      <c r="L182" s="15"/>
      <c r="M182" s="63"/>
      <c r="N182" s="17"/>
      <c r="O182" s="16"/>
      <c r="P182" s="16"/>
      <c r="Q182" s="152">
        <f t="shared" si="9"/>
        <v>0</v>
      </c>
      <c r="R182" s="152">
        <f t="shared" si="10"/>
        <v>0</v>
      </c>
      <c r="S182" s="152">
        <f t="shared" si="11"/>
        <v>0</v>
      </c>
      <c r="T182" s="18">
        <f t="shared" si="12"/>
        <v>0</v>
      </c>
    </row>
    <row r="183" spans="2:20" x14ac:dyDescent="0.25">
      <c r="B183" s="117" t="s">
        <v>386</v>
      </c>
      <c r="C183" s="136" t="s">
        <v>387</v>
      </c>
      <c r="D183" s="14" t="s">
        <v>15</v>
      </c>
      <c r="E183" s="14" t="s">
        <v>16</v>
      </c>
      <c r="F183" s="15">
        <v>43998</v>
      </c>
      <c r="G183" s="16">
        <v>0.49199999999999999</v>
      </c>
      <c r="H183" s="15">
        <v>44182</v>
      </c>
      <c r="I183" s="16">
        <v>0.28799999999999998</v>
      </c>
      <c r="J183" s="15"/>
      <c r="K183" s="16"/>
      <c r="L183" s="15"/>
      <c r="M183" s="63"/>
      <c r="N183" s="17"/>
      <c r="O183" s="16"/>
      <c r="P183" s="16"/>
      <c r="Q183" s="152">
        <f t="shared" si="9"/>
        <v>0</v>
      </c>
      <c r="R183" s="152">
        <f t="shared" si="10"/>
        <v>0.49199999999999999</v>
      </c>
      <c r="S183" s="152">
        <f t="shared" si="11"/>
        <v>0.49199999999999999</v>
      </c>
      <c r="T183" s="18">
        <f t="shared" si="12"/>
        <v>0.78</v>
      </c>
    </row>
    <row r="184" spans="2:20" x14ac:dyDescent="0.25">
      <c r="B184" s="117" t="s">
        <v>388</v>
      </c>
      <c r="C184" s="136" t="s">
        <v>389</v>
      </c>
      <c r="D184" s="14" t="s">
        <v>15</v>
      </c>
      <c r="E184" s="14" t="s">
        <v>77</v>
      </c>
      <c r="F184" s="15">
        <v>43895</v>
      </c>
      <c r="G184" s="16">
        <v>177.47</v>
      </c>
      <c r="H184" s="15">
        <v>44049</v>
      </c>
      <c r="I184" s="16">
        <v>119.74</v>
      </c>
      <c r="J184" s="15"/>
      <c r="K184" s="16"/>
      <c r="L184" s="15"/>
      <c r="M184" s="63"/>
      <c r="N184" s="17"/>
      <c r="O184" s="16"/>
      <c r="P184" s="16"/>
      <c r="Q184" s="152">
        <f t="shared" si="9"/>
        <v>177.47</v>
      </c>
      <c r="R184" s="152">
        <f t="shared" si="10"/>
        <v>177.47</v>
      </c>
      <c r="S184" s="152">
        <f t="shared" si="11"/>
        <v>297.20999999999998</v>
      </c>
      <c r="T184" s="18">
        <f t="shared" si="12"/>
        <v>297.20999999999998</v>
      </c>
    </row>
    <row r="185" spans="2:20" x14ac:dyDescent="0.25">
      <c r="B185" s="117" t="s">
        <v>390</v>
      </c>
      <c r="C185" s="136" t="s">
        <v>391</v>
      </c>
      <c r="D185" s="14" t="s">
        <v>15</v>
      </c>
      <c r="E185" s="14" t="s">
        <v>21</v>
      </c>
      <c r="F185" s="15">
        <v>43909</v>
      </c>
      <c r="G185" s="16">
        <v>9</v>
      </c>
      <c r="H185" s="15"/>
      <c r="I185" s="16"/>
      <c r="J185" s="15"/>
      <c r="K185" s="16"/>
      <c r="L185" s="15"/>
      <c r="M185" s="63"/>
      <c r="N185" s="17"/>
      <c r="O185" s="16"/>
      <c r="P185" s="16"/>
      <c r="Q185" s="152">
        <f t="shared" si="9"/>
        <v>9</v>
      </c>
      <c r="R185" s="152">
        <f t="shared" si="10"/>
        <v>9</v>
      </c>
      <c r="S185" s="152">
        <f t="shared" si="11"/>
        <v>9</v>
      </c>
      <c r="T185" s="18">
        <f t="shared" si="12"/>
        <v>9</v>
      </c>
    </row>
    <row r="186" spans="2:20" x14ac:dyDescent="0.25">
      <c r="B186" s="117" t="s">
        <v>392</v>
      </c>
      <c r="C186" s="136" t="s">
        <v>393</v>
      </c>
      <c r="D186" s="14" t="s">
        <v>15</v>
      </c>
      <c r="E186" s="14" t="s">
        <v>77</v>
      </c>
      <c r="F186" s="15"/>
      <c r="G186" s="16"/>
      <c r="H186" s="15"/>
      <c r="I186" s="16"/>
      <c r="J186" s="15"/>
      <c r="K186" s="16"/>
      <c r="L186" s="15"/>
      <c r="M186" s="63"/>
      <c r="N186" s="17"/>
      <c r="O186" s="16"/>
      <c r="P186" s="16"/>
      <c r="Q186" s="152">
        <f t="shared" si="9"/>
        <v>0</v>
      </c>
      <c r="R186" s="152">
        <f t="shared" si="10"/>
        <v>0</v>
      </c>
      <c r="S186" s="152">
        <f t="shared" si="11"/>
        <v>0</v>
      </c>
      <c r="T186" s="18">
        <f t="shared" si="12"/>
        <v>0</v>
      </c>
    </row>
    <row r="187" spans="2:20" x14ac:dyDescent="0.25">
      <c r="B187" s="117" t="s">
        <v>394</v>
      </c>
      <c r="C187" s="136" t="s">
        <v>395</v>
      </c>
      <c r="D187" s="14" t="s">
        <v>15</v>
      </c>
      <c r="E187" s="14" t="s">
        <v>16</v>
      </c>
      <c r="F187" s="15">
        <v>43874</v>
      </c>
      <c r="G187" s="16">
        <v>0.41930000000000001</v>
      </c>
      <c r="H187" s="15">
        <v>43965</v>
      </c>
      <c r="I187" s="16">
        <v>0.14199999999999999</v>
      </c>
      <c r="J187" s="15">
        <v>44056</v>
      </c>
      <c r="K187" s="16">
        <v>0.1353</v>
      </c>
      <c r="L187" s="15">
        <v>44147</v>
      </c>
      <c r="M187" s="63">
        <v>0.1386</v>
      </c>
      <c r="N187" s="17"/>
      <c r="O187" s="16"/>
      <c r="P187" s="16"/>
      <c r="Q187" s="152">
        <f t="shared" si="9"/>
        <v>0.41930000000000001</v>
      </c>
      <c r="R187" s="152">
        <f t="shared" si="10"/>
        <v>0.56130000000000002</v>
      </c>
      <c r="S187" s="152">
        <f t="shared" si="11"/>
        <v>0.6966</v>
      </c>
      <c r="T187" s="18">
        <f t="shared" si="12"/>
        <v>0.83519999999999994</v>
      </c>
    </row>
    <row r="188" spans="2:20" x14ac:dyDescent="0.25">
      <c r="B188" s="117" t="s">
        <v>396</v>
      </c>
      <c r="C188" s="136" t="s">
        <v>397</v>
      </c>
      <c r="D188" s="14" t="s">
        <v>15</v>
      </c>
      <c r="E188" s="14" t="s">
        <v>16</v>
      </c>
      <c r="F188" s="15">
        <v>44011</v>
      </c>
      <c r="G188" s="16">
        <v>0.8</v>
      </c>
      <c r="H188" s="15"/>
      <c r="I188" s="16"/>
      <c r="J188" s="15"/>
      <c r="K188" s="16"/>
      <c r="L188" s="15"/>
      <c r="M188" s="63"/>
      <c r="N188" s="17"/>
      <c r="O188" s="16"/>
      <c r="P188" s="16"/>
      <c r="Q188" s="152">
        <f t="shared" si="9"/>
        <v>0</v>
      </c>
      <c r="R188" s="152">
        <f t="shared" si="10"/>
        <v>0</v>
      </c>
      <c r="S188" s="152">
        <f t="shared" si="11"/>
        <v>0.8</v>
      </c>
      <c r="T188" s="18">
        <f t="shared" si="12"/>
        <v>0.8</v>
      </c>
    </row>
    <row r="189" spans="2:20" x14ac:dyDescent="0.25">
      <c r="B189" s="117" t="s">
        <v>398</v>
      </c>
      <c r="C189" s="136" t="s">
        <v>399</v>
      </c>
      <c r="D189" s="14" t="s">
        <v>24</v>
      </c>
      <c r="E189" s="14" t="s">
        <v>16</v>
      </c>
      <c r="F189" s="15"/>
      <c r="G189" s="16"/>
      <c r="H189" s="15"/>
      <c r="I189" s="16"/>
      <c r="J189" s="15"/>
      <c r="K189" s="16"/>
      <c r="L189" s="15"/>
      <c r="M189" s="63"/>
      <c r="N189" s="17"/>
      <c r="O189" s="16"/>
      <c r="P189" s="16"/>
      <c r="Q189" s="152">
        <f t="shared" si="9"/>
        <v>0</v>
      </c>
      <c r="R189" s="152">
        <f t="shared" si="10"/>
        <v>0</v>
      </c>
      <c r="S189" s="152">
        <f t="shared" si="11"/>
        <v>0</v>
      </c>
      <c r="T189" s="18">
        <f t="shared" si="12"/>
        <v>0</v>
      </c>
    </row>
    <row r="190" spans="2:20" x14ac:dyDescent="0.25">
      <c r="B190" s="117" t="s">
        <v>400</v>
      </c>
      <c r="C190" s="136" t="s">
        <v>401</v>
      </c>
      <c r="D190" s="14" t="s">
        <v>24</v>
      </c>
      <c r="E190" s="14" t="s">
        <v>16</v>
      </c>
      <c r="F190" s="15"/>
      <c r="G190" s="16"/>
      <c r="H190" s="15"/>
      <c r="I190" s="16"/>
      <c r="J190" s="15"/>
      <c r="K190" s="16"/>
      <c r="L190" s="15"/>
      <c r="M190" s="63"/>
      <c r="N190" s="17"/>
      <c r="O190" s="16"/>
      <c r="P190" s="16"/>
      <c r="Q190" s="152">
        <f t="shared" si="9"/>
        <v>0</v>
      </c>
      <c r="R190" s="152">
        <f t="shared" si="10"/>
        <v>0</v>
      </c>
      <c r="S190" s="152">
        <f t="shared" si="11"/>
        <v>0</v>
      </c>
      <c r="T190" s="18">
        <f t="shared" si="12"/>
        <v>0</v>
      </c>
    </row>
    <row r="191" spans="2:20" x14ac:dyDescent="0.25">
      <c r="B191" s="117" t="s">
        <v>402</v>
      </c>
      <c r="C191" s="136" t="s">
        <v>403</v>
      </c>
      <c r="D191" s="14" t="s">
        <v>15</v>
      </c>
      <c r="E191" s="14" t="s">
        <v>16</v>
      </c>
      <c r="F191" s="15"/>
      <c r="G191" s="16"/>
      <c r="H191" s="15"/>
      <c r="I191" s="16"/>
      <c r="J191" s="15"/>
      <c r="K191" s="16"/>
      <c r="L191" s="15"/>
      <c r="M191" s="63"/>
      <c r="N191" s="17"/>
      <c r="O191" s="16"/>
      <c r="P191" s="16"/>
      <c r="Q191" s="152">
        <f t="shared" si="9"/>
        <v>0</v>
      </c>
      <c r="R191" s="152">
        <f t="shared" si="10"/>
        <v>0</v>
      </c>
      <c r="S191" s="152">
        <f t="shared" si="11"/>
        <v>0</v>
      </c>
      <c r="T191" s="18">
        <f t="shared" si="12"/>
        <v>0</v>
      </c>
    </row>
    <row r="192" spans="2:20" x14ac:dyDescent="0.25">
      <c r="B192" s="117" t="s">
        <v>404</v>
      </c>
      <c r="C192" s="136" t="s">
        <v>405</v>
      </c>
      <c r="D192" s="14" t="s">
        <v>15</v>
      </c>
      <c r="E192" s="14" t="s">
        <v>16</v>
      </c>
      <c r="F192" s="15">
        <v>43985</v>
      </c>
      <c r="G192" s="16">
        <v>1.5</v>
      </c>
      <c r="H192" s="15"/>
      <c r="I192" s="16"/>
      <c r="J192" s="15"/>
      <c r="K192" s="16"/>
      <c r="L192" s="15"/>
      <c r="M192" s="63"/>
      <c r="N192" s="17"/>
      <c r="O192" s="16"/>
      <c r="P192" s="16"/>
      <c r="Q192" s="152">
        <f t="shared" si="9"/>
        <v>0</v>
      </c>
      <c r="R192" s="152">
        <f t="shared" si="10"/>
        <v>1.5</v>
      </c>
      <c r="S192" s="152">
        <f t="shared" si="11"/>
        <v>1.5</v>
      </c>
      <c r="T192" s="18">
        <f t="shared" si="12"/>
        <v>1.5</v>
      </c>
    </row>
    <row r="193" spans="2:20" x14ac:dyDescent="0.25">
      <c r="B193" s="117" t="s">
        <v>406</v>
      </c>
      <c r="C193" s="136" t="s">
        <v>407</v>
      </c>
      <c r="D193" s="14" t="s">
        <v>24</v>
      </c>
      <c r="E193" s="14" t="s">
        <v>16</v>
      </c>
      <c r="F193" s="15">
        <v>43955</v>
      </c>
      <c r="G193" s="16">
        <v>3.15</v>
      </c>
      <c r="H193" s="15"/>
      <c r="I193" s="16"/>
      <c r="J193" s="15"/>
      <c r="K193" s="16"/>
      <c r="L193" s="15"/>
      <c r="M193" s="63"/>
      <c r="N193" s="17"/>
      <c r="O193" s="16"/>
      <c r="P193" s="16"/>
      <c r="Q193" s="152">
        <f t="shared" si="9"/>
        <v>0</v>
      </c>
      <c r="R193" s="152">
        <f t="shared" si="10"/>
        <v>3.15</v>
      </c>
      <c r="S193" s="152">
        <f t="shared" si="11"/>
        <v>3.15</v>
      </c>
      <c r="T193" s="18">
        <f t="shared" si="12"/>
        <v>3.15</v>
      </c>
    </row>
    <row r="194" spans="2:20" x14ac:dyDescent="0.25">
      <c r="B194" s="117" t="s">
        <v>408</v>
      </c>
      <c r="C194" s="136" t="s">
        <v>409</v>
      </c>
      <c r="D194" s="14" t="s">
        <v>15</v>
      </c>
      <c r="E194" s="14" t="s">
        <v>16</v>
      </c>
      <c r="F194" s="15">
        <v>43972</v>
      </c>
      <c r="G194" s="16">
        <v>1.58</v>
      </c>
      <c r="H194" s="15"/>
      <c r="I194" s="16"/>
      <c r="J194" s="15"/>
      <c r="K194" s="16"/>
      <c r="L194" s="15"/>
      <c r="M194" s="63"/>
      <c r="N194" s="17"/>
      <c r="O194" s="16"/>
      <c r="P194" s="16"/>
      <c r="Q194" s="152">
        <f t="shared" si="9"/>
        <v>0</v>
      </c>
      <c r="R194" s="152">
        <f t="shared" si="10"/>
        <v>1.58</v>
      </c>
      <c r="S194" s="152">
        <f t="shared" si="11"/>
        <v>1.58</v>
      </c>
      <c r="T194" s="18">
        <f t="shared" si="12"/>
        <v>1.58</v>
      </c>
    </row>
    <row r="195" spans="2:20" x14ac:dyDescent="0.25">
      <c r="B195" s="117" t="s">
        <v>410</v>
      </c>
      <c r="C195" s="136" t="s">
        <v>411</v>
      </c>
      <c r="D195" s="14" t="s">
        <v>15</v>
      </c>
      <c r="E195" s="14" t="s">
        <v>16</v>
      </c>
      <c r="F195" s="15">
        <v>43935</v>
      </c>
      <c r="G195" s="16">
        <v>0.745</v>
      </c>
      <c r="H195" s="15"/>
      <c r="I195" s="16"/>
      <c r="J195" s="15"/>
      <c r="K195" s="16"/>
      <c r="L195" s="15"/>
      <c r="M195" s="63"/>
      <c r="N195" s="17"/>
      <c r="O195" s="16"/>
      <c r="P195" s="16"/>
      <c r="Q195" s="152">
        <f t="shared" si="9"/>
        <v>0</v>
      </c>
      <c r="R195" s="152">
        <f t="shared" si="10"/>
        <v>0.745</v>
      </c>
      <c r="S195" s="152">
        <f t="shared" si="11"/>
        <v>0.745</v>
      </c>
      <c r="T195" s="18">
        <f t="shared" si="12"/>
        <v>0.745</v>
      </c>
    </row>
    <row r="196" spans="2:20" x14ac:dyDescent="0.25">
      <c r="B196" s="117" t="s">
        <v>412</v>
      </c>
      <c r="C196" s="136" t="s">
        <v>413</v>
      </c>
      <c r="D196" s="14" t="s">
        <v>24</v>
      </c>
      <c r="E196" s="14" t="s">
        <v>16</v>
      </c>
      <c r="F196" s="15">
        <v>43956</v>
      </c>
      <c r="G196" s="16">
        <v>2.5499999999999998</v>
      </c>
      <c r="H196" s="15"/>
      <c r="I196" s="16"/>
      <c r="J196" s="15"/>
      <c r="K196" s="16"/>
      <c r="L196" s="15"/>
      <c r="M196" s="63"/>
      <c r="N196" s="17"/>
      <c r="O196" s="16"/>
      <c r="P196" s="16"/>
      <c r="Q196" s="152">
        <f t="shared" si="9"/>
        <v>0</v>
      </c>
      <c r="R196" s="152">
        <f t="shared" si="10"/>
        <v>2.5499999999999998</v>
      </c>
      <c r="S196" s="152">
        <f t="shared" si="11"/>
        <v>2.5499999999999998</v>
      </c>
      <c r="T196" s="18">
        <f t="shared" si="12"/>
        <v>2.5499999999999998</v>
      </c>
    </row>
    <row r="197" spans="2:20" x14ac:dyDescent="0.25">
      <c r="B197" s="117" t="s">
        <v>414</v>
      </c>
      <c r="C197" s="136" t="s">
        <v>415</v>
      </c>
      <c r="D197" s="14" t="s">
        <v>24</v>
      </c>
      <c r="E197" s="14" t="s">
        <v>16</v>
      </c>
      <c r="F197" s="15"/>
      <c r="G197" s="16"/>
      <c r="H197" s="15"/>
      <c r="I197" s="16"/>
      <c r="J197" s="15"/>
      <c r="K197" s="16"/>
      <c r="L197" s="15"/>
      <c r="M197" s="63"/>
      <c r="N197" s="17"/>
      <c r="O197" s="16"/>
      <c r="P197" s="16"/>
      <c r="Q197" s="152">
        <f t="shared" si="9"/>
        <v>0</v>
      </c>
      <c r="R197" s="152">
        <f t="shared" si="10"/>
        <v>0</v>
      </c>
      <c r="S197" s="152">
        <f t="shared" si="11"/>
        <v>0</v>
      </c>
      <c r="T197" s="18">
        <f t="shared" si="12"/>
        <v>0</v>
      </c>
    </row>
    <row r="198" spans="2:20" x14ac:dyDescent="0.25">
      <c r="B198" s="117" t="s">
        <v>416</v>
      </c>
      <c r="C198" s="136" t="s">
        <v>417</v>
      </c>
      <c r="D198" s="14" t="s">
        <v>237</v>
      </c>
      <c r="E198" s="14" t="s">
        <v>16</v>
      </c>
      <c r="F198" s="15">
        <v>43993</v>
      </c>
      <c r="G198" s="16">
        <v>0.125</v>
      </c>
      <c r="H198" s="15"/>
      <c r="I198" s="16"/>
      <c r="J198" s="15"/>
      <c r="K198" s="16"/>
      <c r="L198" s="15"/>
      <c r="M198" s="63"/>
      <c r="N198" s="17"/>
      <c r="O198" s="16"/>
      <c r="P198" s="16"/>
      <c r="Q198" s="152">
        <f t="shared" si="9"/>
        <v>0</v>
      </c>
      <c r="R198" s="152">
        <f t="shared" si="10"/>
        <v>0.125</v>
      </c>
      <c r="S198" s="152">
        <f t="shared" si="11"/>
        <v>0.125</v>
      </c>
      <c r="T198" s="18">
        <f t="shared" si="12"/>
        <v>0.125</v>
      </c>
    </row>
    <row r="199" spans="2:20" x14ac:dyDescent="0.25">
      <c r="B199" s="117" t="s">
        <v>418</v>
      </c>
      <c r="C199" s="136" t="s">
        <v>419</v>
      </c>
      <c r="D199" s="14" t="s">
        <v>15</v>
      </c>
      <c r="E199" s="14" t="s">
        <v>77</v>
      </c>
      <c r="F199" s="15">
        <v>43993</v>
      </c>
      <c r="G199" s="16">
        <v>60.05</v>
      </c>
      <c r="H199" s="15">
        <v>44168</v>
      </c>
      <c r="I199" s="16">
        <v>40.630000000000003</v>
      </c>
      <c r="J199" s="15"/>
      <c r="K199" s="16"/>
      <c r="L199" s="15"/>
      <c r="M199" s="63"/>
      <c r="N199" s="17"/>
      <c r="O199" s="16"/>
      <c r="P199" s="16"/>
      <c r="Q199" s="152">
        <f t="shared" si="9"/>
        <v>0</v>
      </c>
      <c r="R199" s="152">
        <f t="shared" si="10"/>
        <v>60.05</v>
      </c>
      <c r="S199" s="152">
        <f t="shared" si="11"/>
        <v>60.05</v>
      </c>
      <c r="T199" s="18">
        <f t="shared" si="12"/>
        <v>100.68</v>
      </c>
    </row>
    <row r="200" spans="2:20" ht="15.75" thickBot="1" x14ac:dyDescent="0.3">
      <c r="B200" s="155" t="s">
        <v>420</v>
      </c>
      <c r="C200" s="156" t="s">
        <v>421</v>
      </c>
      <c r="D200" s="39" t="s">
        <v>15</v>
      </c>
      <c r="E200" s="39" t="s">
        <v>21</v>
      </c>
      <c r="F200" s="40">
        <v>43916</v>
      </c>
      <c r="G200" s="41">
        <v>80</v>
      </c>
      <c r="H200" s="40"/>
      <c r="I200" s="41"/>
      <c r="J200" s="40"/>
      <c r="K200" s="41"/>
      <c r="L200" s="40"/>
      <c r="M200" s="79"/>
      <c r="N200" s="42"/>
      <c r="O200" s="41"/>
      <c r="P200" s="41"/>
      <c r="Q200" s="152">
        <f t="shared" si="9"/>
        <v>0</v>
      </c>
      <c r="R200" s="152">
        <f t="shared" si="10"/>
        <v>80</v>
      </c>
      <c r="S200" s="152">
        <f t="shared" si="11"/>
        <v>80</v>
      </c>
      <c r="T200" s="18">
        <f t="shared" si="12"/>
        <v>80</v>
      </c>
    </row>
    <row r="201" spans="2:20" x14ac:dyDescent="0.25">
      <c r="B201" s="161" t="s">
        <v>722</v>
      </c>
      <c r="C201" s="162" t="s">
        <v>425</v>
      </c>
      <c r="D201" s="52" t="s">
        <v>15</v>
      </c>
      <c r="E201" s="52" t="s">
        <v>16</v>
      </c>
      <c r="F201" s="53">
        <v>43867</v>
      </c>
      <c r="G201" s="54">
        <v>3.9</v>
      </c>
      <c r="H201" s="53"/>
      <c r="I201" s="54"/>
      <c r="J201" s="53"/>
      <c r="K201" s="54"/>
      <c r="L201" s="53"/>
      <c r="M201" s="81"/>
      <c r="N201" s="55"/>
      <c r="O201" s="54"/>
      <c r="P201" s="54"/>
      <c r="Q201" s="152">
        <f t="shared" si="9"/>
        <v>3.9</v>
      </c>
      <c r="R201" s="152">
        <f t="shared" si="10"/>
        <v>3.9</v>
      </c>
      <c r="S201" s="152">
        <f t="shared" si="11"/>
        <v>3.9</v>
      </c>
      <c r="T201" s="18">
        <f t="shared" si="12"/>
        <v>3.9</v>
      </c>
    </row>
    <row r="202" spans="2:20" ht="15.75" thickBot="1" x14ac:dyDescent="0.3">
      <c r="B202" s="163" t="s">
        <v>723</v>
      </c>
      <c r="C202" s="164" t="s">
        <v>425</v>
      </c>
      <c r="D202" s="58" t="s">
        <v>15</v>
      </c>
      <c r="E202" s="58" t="s">
        <v>16</v>
      </c>
      <c r="F202" s="59"/>
      <c r="G202" s="60"/>
      <c r="H202" s="59"/>
      <c r="I202" s="60"/>
      <c r="J202" s="59"/>
      <c r="K202" s="60"/>
      <c r="L202" s="59"/>
      <c r="M202" s="82"/>
      <c r="N202" s="61"/>
      <c r="O202" s="60"/>
      <c r="P202" s="60"/>
      <c r="Q202" s="152">
        <f t="shared" si="9"/>
        <v>0</v>
      </c>
      <c r="R202" s="152">
        <f t="shared" si="10"/>
        <v>0</v>
      </c>
      <c r="S202" s="152">
        <f t="shared" si="11"/>
        <v>0</v>
      </c>
      <c r="T202" s="18">
        <f t="shared" si="12"/>
        <v>0</v>
      </c>
    </row>
    <row r="203" spans="2:20" x14ac:dyDescent="0.25">
      <c r="B203" s="158" t="s">
        <v>426</v>
      </c>
      <c r="C203" s="159" t="s">
        <v>427</v>
      </c>
      <c r="D203" s="45" t="s">
        <v>15</v>
      </c>
      <c r="E203" s="45" t="s">
        <v>200</v>
      </c>
      <c r="F203" s="46"/>
      <c r="G203" s="47"/>
      <c r="H203" s="46"/>
      <c r="I203" s="47"/>
      <c r="J203" s="46"/>
      <c r="K203" s="47"/>
      <c r="L203" s="46"/>
      <c r="M203" s="80"/>
      <c r="N203" s="48"/>
      <c r="O203" s="47"/>
      <c r="P203" s="47"/>
      <c r="Q203" s="152">
        <f t="shared" si="9"/>
        <v>0</v>
      </c>
      <c r="R203" s="152">
        <f t="shared" si="10"/>
        <v>0</v>
      </c>
      <c r="S203" s="152">
        <f t="shared" si="11"/>
        <v>0</v>
      </c>
      <c r="T203" s="18">
        <f t="shared" si="12"/>
        <v>0</v>
      </c>
    </row>
    <row r="204" spans="2:20" x14ac:dyDescent="0.25">
      <c r="B204" s="117" t="s">
        <v>430</v>
      </c>
      <c r="C204" s="136" t="s">
        <v>431</v>
      </c>
      <c r="D204" s="14" t="s">
        <v>15</v>
      </c>
      <c r="E204" s="14" t="s">
        <v>16</v>
      </c>
      <c r="F204" s="15">
        <v>43850</v>
      </c>
      <c r="G204" s="16">
        <v>9.5000000000000001E-2</v>
      </c>
      <c r="H204" s="15">
        <v>44004</v>
      </c>
      <c r="I204" s="16">
        <v>0.1426</v>
      </c>
      <c r="J204" s="15"/>
      <c r="K204" s="16"/>
      <c r="L204" s="15"/>
      <c r="M204" s="63"/>
      <c r="N204" s="17"/>
      <c r="O204" s="16"/>
      <c r="P204" s="16"/>
      <c r="Q204" s="152">
        <f t="shared" si="9"/>
        <v>9.5000000000000001E-2</v>
      </c>
      <c r="R204" s="152">
        <f t="shared" si="10"/>
        <v>9.5000000000000001E-2</v>
      </c>
      <c r="S204" s="152">
        <f t="shared" si="11"/>
        <v>0.23760000000000001</v>
      </c>
      <c r="T204" s="18">
        <f t="shared" si="12"/>
        <v>0.23760000000000001</v>
      </c>
    </row>
    <row r="205" spans="2:20" x14ac:dyDescent="0.25">
      <c r="B205" s="117" t="s">
        <v>435</v>
      </c>
      <c r="C205" s="136" t="s">
        <v>436</v>
      </c>
      <c r="D205" s="14" t="s">
        <v>24</v>
      </c>
      <c r="E205" s="14" t="s">
        <v>16</v>
      </c>
      <c r="F205" s="15"/>
      <c r="G205" s="16"/>
      <c r="H205" s="15"/>
      <c r="I205" s="16"/>
      <c r="J205" s="15"/>
      <c r="K205" s="16"/>
      <c r="L205" s="15"/>
      <c r="M205" s="63"/>
      <c r="N205" s="17"/>
      <c r="O205" s="16"/>
      <c r="P205" s="16"/>
      <c r="Q205" s="152">
        <f t="shared" si="9"/>
        <v>0</v>
      </c>
      <c r="R205" s="152">
        <f t="shared" si="10"/>
        <v>0</v>
      </c>
      <c r="S205" s="152">
        <f t="shared" si="11"/>
        <v>0</v>
      </c>
      <c r="T205" s="18">
        <f t="shared" si="12"/>
        <v>0</v>
      </c>
    </row>
    <row r="206" spans="2:20" x14ac:dyDescent="0.25">
      <c r="B206" s="117" t="s">
        <v>437</v>
      </c>
      <c r="C206" s="136" t="s">
        <v>438</v>
      </c>
      <c r="D206" s="14" t="s">
        <v>24</v>
      </c>
      <c r="E206" s="14" t="s">
        <v>16</v>
      </c>
      <c r="F206" s="15">
        <v>43860</v>
      </c>
      <c r="G206" s="16">
        <v>2.9</v>
      </c>
      <c r="H206" s="15"/>
      <c r="I206" s="16"/>
      <c r="J206" s="15"/>
      <c r="K206" s="16"/>
      <c r="L206" s="15"/>
      <c r="M206" s="63"/>
      <c r="N206" s="17"/>
      <c r="O206" s="16"/>
      <c r="P206" s="16"/>
      <c r="Q206" s="152">
        <f t="shared" ref="Q206:Q255" si="13">IF(F206&lt;=Exp20Q1,G206,0)+IF(H206&lt;=Exp20Q1,I206,0)+IF(J206&lt;=Exp20Q1,K206,0)+IF(L206&lt;=Exp20Q1,M206,0)+IF(N206&lt;=Exp20Q1,O206,0)</f>
        <v>2.9</v>
      </c>
      <c r="R206" s="152">
        <f t="shared" ref="R206:R255" si="14">IF(F206&lt;=Exp20H1,G206,0)+IF(H206&lt;=Exp20H1,I206,0)+IF(J206&lt;=Exp20H1,K206,0)+IF(L206&lt;=Exp20H1,M206,0)+IF(N206&lt;=Exp20H1,O206,0)</f>
        <v>2.9</v>
      </c>
      <c r="S206" s="152">
        <f t="shared" ref="S206:S255" si="15">IF(F206&lt;=Exp20Q3,G206,0)+IF(H206&lt;=Exp20Q3,I206,0)+IF(J206&lt;=Exp20Q3,K206,0)+IF(L206&lt;=Exp20Q3,M206,0)+IF(N206&lt;=Exp20Q3,O206,0)</f>
        <v>2.9</v>
      </c>
      <c r="T206" s="18">
        <f t="shared" si="12"/>
        <v>2.9</v>
      </c>
    </row>
    <row r="207" spans="2:20" x14ac:dyDescent="0.25">
      <c r="B207" s="117" t="s">
        <v>439</v>
      </c>
      <c r="C207" s="136" t="s">
        <v>440</v>
      </c>
      <c r="D207" s="14" t="s">
        <v>27</v>
      </c>
      <c r="E207" s="14" t="s">
        <v>16</v>
      </c>
      <c r="F207" s="15">
        <v>43846</v>
      </c>
      <c r="G207" s="16">
        <v>1.5</v>
      </c>
      <c r="H207" s="15">
        <v>43969</v>
      </c>
      <c r="I207" s="16">
        <v>2.25</v>
      </c>
      <c r="J207" s="15"/>
      <c r="K207" s="16"/>
      <c r="L207" s="15"/>
      <c r="M207" s="63"/>
      <c r="N207" s="17"/>
      <c r="O207" s="16"/>
      <c r="P207" s="16"/>
      <c r="Q207" s="152">
        <f t="shared" si="13"/>
        <v>1.5</v>
      </c>
      <c r="R207" s="152">
        <f t="shared" si="14"/>
        <v>3.75</v>
      </c>
      <c r="S207" s="152">
        <f t="shared" si="15"/>
        <v>3.75</v>
      </c>
      <c r="T207" s="18">
        <f t="shared" ref="T207:T255" si="16">G207+I207+K207+M207+O207</f>
        <v>3.75</v>
      </c>
    </row>
    <row r="208" spans="2:20" x14ac:dyDescent="0.25">
      <c r="B208" s="117" t="s">
        <v>445</v>
      </c>
      <c r="C208" s="136" t="s">
        <v>446</v>
      </c>
      <c r="D208" s="14" t="s">
        <v>15</v>
      </c>
      <c r="E208" s="14" t="s">
        <v>77</v>
      </c>
      <c r="F208" s="15">
        <v>43846</v>
      </c>
      <c r="G208" s="16">
        <v>24</v>
      </c>
      <c r="H208" s="15">
        <v>44035</v>
      </c>
      <c r="I208" s="16">
        <v>56</v>
      </c>
      <c r="J208" s="15"/>
      <c r="K208" s="16"/>
      <c r="L208" s="15"/>
      <c r="M208" s="63"/>
      <c r="N208" s="17"/>
      <c r="O208" s="16"/>
      <c r="P208" s="16"/>
      <c r="Q208" s="152">
        <f t="shared" si="13"/>
        <v>24</v>
      </c>
      <c r="R208" s="152">
        <f t="shared" si="14"/>
        <v>24</v>
      </c>
      <c r="S208" s="152">
        <f t="shared" si="15"/>
        <v>80</v>
      </c>
      <c r="T208" s="18">
        <f t="shared" si="16"/>
        <v>80</v>
      </c>
    </row>
    <row r="209" spans="2:20" x14ac:dyDescent="0.25">
      <c r="B209" s="117" t="s">
        <v>447</v>
      </c>
      <c r="C209" s="136" t="s">
        <v>448</v>
      </c>
      <c r="D209" s="14" t="s">
        <v>15</v>
      </c>
      <c r="E209" s="14" t="s">
        <v>56</v>
      </c>
      <c r="F209" s="15"/>
      <c r="G209" s="16"/>
      <c r="H209" s="15"/>
      <c r="I209" s="16"/>
      <c r="J209" s="15"/>
      <c r="K209" s="16"/>
      <c r="L209" s="15"/>
      <c r="M209" s="63"/>
      <c r="N209" s="17"/>
      <c r="O209" s="16"/>
      <c r="P209" s="16"/>
      <c r="Q209" s="152">
        <f t="shared" si="13"/>
        <v>0</v>
      </c>
      <c r="R209" s="152">
        <f t="shared" si="14"/>
        <v>0</v>
      </c>
      <c r="S209" s="152">
        <f t="shared" si="15"/>
        <v>0</v>
      </c>
      <c r="T209" s="18">
        <f t="shared" si="16"/>
        <v>0</v>
      </c>
    </row>
    <row r="210" spans="2:20" x14ac:dyDescent="0.25">
      <c r="B210" s="117" t="s">
        <v>451</v>
      </c>
      <c r="C210" s="136" t="s">
        <v>452</v>
      </c>
      <c r="D210" s="14" t="s">
        <v>15</v>
      </c>
      <c r="E210" s="14" t="s">
        <v>56</v>
      </c>
      <c r="F210" s="15">
        <v>43906</v>
      </c>
      <c r="G210" s="16">
        <v>0.06</v>
      </c>
      <c r="H210" s="15">
        <v>44004</v>
      </c>
      <c r="I210" s="16">
        <v>4.2000000000000003E-2</v>
      </c>
      <c r="J210" s="15">
        <v>44095</v>
      </c>
      <c r="K210" s="16">
        <v>4.2000000000000003E-2</v>
      </c>
      <c r="L210" s="15">
        <v>44179</v>
      </c>
      <c r="M210" s="63">
        <v>4.2000000000000003E-2</v>
      </c>
      <c r="N210" s="17"/>
      <c r="O210" s="16"/>
      <c r="P210" s="16"/>
      <c r="Q210" s="152">
        <f t="shared" si="13"/>
        <v>0.06</v>
      </c>
      <c r="R210" s="152">
        <f t="shared" si="14"/>
        <v>0.06</v>
      </c>
      <c r="S210" s="152">
        <f t="shared" si="15"/>
        <v>0.10200000000000001</v>
      </c>
      <c r="T210" s="18">
        <f t="shared" si="16"/>
        <v>0.18600000000000003</v>
      </c>
    </row>
    <row r="211" spans="2:20" x14ac:dyDescent="0.25">
      <c r="B211" s="117" t="s">
        <v>453</v>
      </c>
      <c r="C211" s="136" t="s">
        <v>454</v>
      </c>
      <c r="D211" s="14" t="s">
        <v>24</v>
      </c>
      <c r="E211" s="14" t="s">
        <v>16</v>
      </c>
      <c r="F211" s="15">
        <v>43969</v>
      </c>
      <c r="G211" s="16">
        <v>0.45</v>
      </c>
      <c r="H211" s="15"/>
      <c r="I211" s="16"/>
      <c r="J211" s="15"/>
      <c r="K211" s="16"/>
      <c r="L211" s="15"/>
      <c r="M211" s="63"/>
      <c r="N211" s="17"/>
      <c r="O211" s="16"/>
      <c r="P211" s="16"/>
      <c r="Q211" s="152">
        <f t="shared" si="13"/>
        <v>0</v>
      </c>
      <c r="R211" s="152">
        <f t="shared" si="14"/>
        <v>0.45</v>
      </c>
      <c r="S211" s="152">
        <f t="shared" si="15"/>
        <v>0.45</v>
      </c>
      <c r="T211" s="18">
        <f t="shared" si="16"/>
        <v>0.45</v>
      </c>
    </row>
    <row r="212" spans="2:20" x14ac:dyDescent="0.25">
      <c r="B212" s="117" t="s">
        <v>455</v>
      </c>
      <c r="C212" s="136" t="s">
        <v>456</v>
      </c>
      <c r="D212" s="14" t="s">
        <v>15</v>
      </c>
      <c r="E212" s="14" t="s">
        <v>200</v>
      </c>
      <c r="F212" s="15"/>
      <c r="G212" s="16"/>
      <c r="H212" s="15"/>
      <c r="I212" s="16"/>
      <c r="J212" s="15"/>
      <c r="K212" s="16"/>
      <c r="L212" s="15"/>
      <c r="M212" s="63"/>
      <c r="N212" s="17"/>
      <c r="O212" s="16"/>
      <c r="P212" s="16"/>
      <c r="Q212" s="152">
        <f t="shared" si="13"/>
        <v>0</v>
      </c>
      <c r="R212" s="152">
        <f t="shared" si="14"/>
        <v>0</v>
      </c>
      <c r="S212" s="152">
        <f t="shared" si="15"/>
        <v>0</v>
      </c>
      <c r="T212" s="18">
        <f t="shared" si="16"/>
        <v>0</v>
      </c>
    </row>
    <row r="213" spans="2:20" x14ac:dyDescent="0.25">
      <c r="B213" s="117" t="s">
        <v>457</v>
      </c>
      <c r="C213" s="136" t="s">
        <v>458</v>
      </c>
      <c r="D213" s="14" t="s">
        <v>15</v>
      </c>
      <c r="E213" s="14" t="s">
        <v>200</v>
      </c>
      <c r="F213" s="15"/>
      <c r="G213" s="16"/>
      <c r="H213" s="15"/>
      <c r="I213" s="16"/>
      <c r="J213" s="15"/>
      <c r="K213" s="16"/>
      <c r="L213" s="15"/>
      <c r="M213" s="63"/>
      <c r="N213" s="17"/>
      <c r="O213" s="16"/>
      <c r="P213" s="16"/>
      <c r="Q213" s="152">
        <f t="shared" si="13"/>
        <v>0</v>
      </c>
      <c r="R213" s="152">
        <f t="shared" si="14"/>
        <v>0</v>
      </c>
      <c r="S213" s="152">
        <f t="shared" si="15"/>
        <v>0</v>
      </c>
      <c r="T213" s="18">
        <f t="shared" si="16"/>
        <v>0</v>
      </c>
    </row>
    <row r="214" spans="2:20" x14ac:dyDescent="0.25">
      <c r="B214" s="117" t="s">
        <v>459</v>
      </c>
      <c r="C214" s="136" t="s">
        <v>460</v>
      </c>
      <c r="D214" s="14" t="s">
        <v>15</v>
      </c>
      <c r="E214" s="14" t="s">
        <v>200</v>
      </c>
      <c r="F214" s="15">
        <v>43924</v>
      </c>
      <c r="G214" s="16">
        <v>12.5</v>
      </c>
      <c r="H214" s="15"/>
      <c r="I214" s="16"/>
      <c r="J214" s="15"/>
      <c r="K214" s="16"/>
      <c r="L214" s="15"/>
      <c r="M214" s="63"/>
      <c r="N214" s="17"/>
      <c r="O214" s="16"/>
      <c r="P214" s="16"/>
      <c r="Q214" s="152">
        <f t="shared" si="13"/>
        <v>0</v>
      </c>
      <c r="R214" s="152">
        <f t="shared" si="14"/>
        <v>12.5</v>
      </c>
      <c r="S214" s="152">
        <f t="shared" si="15"/>
        <v>12.5</v>
      </c>
      <c r="T214" s="18">
        <f t="shared" si="16"/>
        <v>12.5</v>
      </c>
    </row>
    <row r="215" spans="2:20" x14ac:dyDescent="0.25">
      <c r="B215" s="117" t="s">
        <v>461</v>
      </c>
      <c r="C215" s="136" t="s">
        <v>462</v>
      </c>
      <c r="D215" s="14" t="s">
        <v>15</v>
      </c>
      <c r="E215" s="14" t="s">
        <v>21</v>
      </c>
      <c r="F215" s="15">
        <v>43942</v>
      </c>
      <c r="G215" s="16">
        <v>5.9</v>
      </c>
      <c r="H215" s="15"/>
      <c r="I215" s="16"/>
      <c r="J215" s="15"/>
      <c r="K215" s="16"/>
      <c r="L215" s="15"/>
      <c r="M215" s="63"/>
      <c r="N215" s="17"/>
      <c r="O215" s="16"/>
      <c r="P215" s="16"/>
      <c r="Q215" s="152">
        <f t="shared" si="13"/>
        <v>0</v>
      </c>
      <c r="R215" s="152">
        <f t="shared" si="14"/>
        <v>5.9</v>
      </c>
      <c r="S215" s="152">
        <f t="shared" si="15"/>
        <v>5.9</v>
      </c>
      <c r="T215" s="18">
        <f t="shared" si="16"/>
        <v>5.9</v>
      </c>
    </row>
    <row r="216" spans="2:20" x14ac:dyDescent="0.25">
      <c r="B216" s="117" t="s">
        <v>463</v>
      </c>
      <c r="C216" s="136" t="s">
        <v>464</v>
      </c>
      <c r="D216" s="14" t="s">
        <v>15</v>
      </c>
      <c r="E216" s="14" t="s">
        <v>21</v>
      </c>
      <c r="F216" s="15">
        <v>43929</v>
      </c>
      <c r="G216" s="16">
        <v>22</v>
      </c>
      <c r="H216" s="15"/>
      <c r="I216" s="16"/>
      <c r="J216" s="15"/>
      <c r="K216" s="16"/>
      <c r="L216" s="15"/>
      <c r="M216" s="63"/>
      <c r="N216" s="17"/>
      <c r="O216" s="16"/>
      <c r="P216" s="16"/>
      <c r="Q216" s="152">
        <f t="shared" si="13"/>
        <v>0</v>
      </c>
      <c r="R216" s="152">
        <f t="shared" si="14"/>
        <v>22</v>
      </c>
      <c r="S216" s="152">
        <f t="shared" si="15"/>
        <v>22</v>
      </c>
      <c r="T216" s="18">
        <f t="shared" si="16"/>
        <v>22</v>
      </c>
    </row>
    <row r="217" spans="2:20" x14ac:dyDescent="0.25">
      <c r="B217" s="117" t="s">
        <v>465</v>
      </c>
      <c r="C217" s="136" t="s">
        <v>466</v>
      </c>
      <c r="D217" s="14" t="s">
        <v>24</v>
      </c>
      <c r="E217" s="14" t="s">
        <v>16</v>
      </c>
      <c r="F217" s="15">
        <v>43913</v>
      </c>
      <c r="G217" s="16">
        <v>0.13</v>
      </c>
      <c r="H217" s="15"/>
      <c r="I217" s="16"/>
      <c r="J217" s="15"/>
      <c r="K217" s="16"/>
      <c r="L217" s="15"/>
      <c r="M217" s="63"/>
      <c r="N217" s="17"/>
      <c r="O217" s="16"/>
      <c r="P217" s="16"/>
      <c r="Q217" s="152">
        <f t="shared" si="13"/>
        <v>0</v>
      </c>
      <c r="R217" s="152">
        <f t="shared" si="14"/>
        <v>0.13</v>
      </c>
      <c r="S217" s="152">
        <f t="shared" si="15"/>
        <v>0.13</v>
      </c>
      <c r="T217" s="18">
        <f t="shared" si="16"/>
        <v>0.13</v>
      </c>
    </row>
    <row r="218" spans="2:20" x14ac:dyDescent="0.25">
      <c r="B218" s="117" t="s">
        <v>467</v>
      </c>
      <c r="C218" s="136" t="s">
        <v>468</v>
      </c>
      <c r="D218" s="14" t="s">
        <v>15</v>
      </c>
      <c r="E218" s="14" t="s">
        <v>200</v>
      </c>
      <c r="F218" s="153">
        <v>43963</v>
      </c>
      <c r="G218" s="154">
        <f>2.75*0.97178557</f>
        <v>2.6724103174999998</v>
      </c>
      <c r="H218" s="153">
        <v>44105</v>
      </c>
      <c r="I218" s="154">
        <f>2.75*0.97178557</f>
        <v>2.6724103174999998</v>
      </c>
      <c r="J218" s="15"/>
      <c r="K218" s="16"/>
      <c r="L218" s="15"/>
      <c r="M218" s="63"/>
      <c r="N218" s="17"/>
      <c r="O218" s="16"/>
      <c r="P218" s="16"/>
      <c r="Q218" s="152">
        <f t="shared" si="13"/>
        <v>0</v>
      </c>
      <c r="R218" s="152">
        <f t="shared" si="14"/>
        <v>2.6724103174999998</v>
      </c>
      <c r="S218" s="152">
        <f t="shared" si="15"/>
        <v>2.6724103174999998</v>
      </c>
      <c r="T218" s="18">
        <f t="shared" si="16"/>
        <v>5.3448206349999996</v>
      </c>
    </row>
    <row r="219" spans="2:20" x14ac:dyDescent="0.25">
      <c r="B219" s="117" t="s">
        <v>691</v>
      </c>
      <c r="C219" s="136" t="s">
        <v>690</v>
      </c>
      <c r="D219" s="14" t="s">
        <v>15</v>
      </c>
      <c r="E219" s="14" t="s">
        <v>200</v>
      </c>
      <c r="F219" s="153">
        <v>43963</v>
      </c>
      <c r="G219" s="154">
        <f>2.75*0.97178557</f>
        <v>2.6724103174999998</v>
      </c>
      <c r="H219" s="153">
        <v>44105</v>
      </c>
      <c r="I219" s="154">
        <f>2.75*0.97178557</f>
        <v>2.6724103174999998</v>
      </c>
      <c r="J219" s="15"/>
      <c r="K219" s="16"/>
      <c r="L219" s="15"/>
      <c r="M219" s="63"/>
      <c r="N219" s="17"/>
      <c r="O219" s="16"/>
      <c r="P219" s="16"/>
      <c r="Q219" s="152">
        <f t="shared" si="13"/>
        <v>0</v>
      </c>
      <c r="R219" s="152">
        <f t="shared" si="14"/>
        <v>2.6724103174999998</v>
      </c>
      <c r="S219" s="152">
        <f t="shared" si="15"/>
        <v>2.6724103174999998</v>
      </c>
      <c r="T219" s="18">
        <f t="shared" si="16"/>
        <v>5.3448206349999996</v>
      </c>
    </row>
    <row r="220" spans="2:20" x14ac:dyDescent="0.25">
      <c r="B220" s="117" t="s">
        <v>691</v>
      </c>
      <c r="C220" s="136" t="s">
        <v>724</v>
      </c>
      <c r="D220" s="14" t="s">
        <v>15</v>
      </c>
      <c r="E220" s="14" t="s">
        <v>200</v>
      </c>
      <c r="F220" s="153">
        <v>43963</v>
      </c>
      <c r="G220" s="154">
        <f>2.75*0.97178557</f>
        <v>2.6724103174999998</v>
      </c>
      <c r="H220" s="153">
        <v>44105</v>
      </c>
      <c r="I220" s="154">
        <f>2.75*0.97178557</f>
        <v>2.6724103174999998</v>
      </c>
      <c r="J220" s="15"/>
      <c r="K220" s="16"/>
      <c r="L220" s="15"/>
      <c r="M220" s="63"/>
      <c r="N220" s="17"/>
      <c r="O220" s="16"/>
      <c r="P220" s="16"/>
      <c r="Q220" s="152">
        <f t="shared" si="13"/>
        <v>0</v>
      </c>
      <c r="R220" s="152">
        <f t="shared" si="14"/>
        <v>2.6724103174999998</v>
      </c>
      <c r="S220" s="152">
        <f t="shared" si="15"/>
        <v>2.6724103174999998</v>
      </c>
      <c r="T220" s="18">
        <f t="shared" si="16"/>
        <v>5.3448206349999996</v>
      </c>
    </row>
    <row r="221" spans="2:20" x14ac:dyDescent="0.25">
      <c r="B221" s="117" t="s">
        <v>469</v>
      </c>
      <c r="C221" s="136" t="s">
        <v>470</v>
      </c>
      <c r="D221" s="14" t="s">
        <v>15</v>
      </c>
      <c r="E221" s="14" t="s">
        <v>16</v>
      </c>
      <c r="F221" s="15">
        <v>44004</v>
      </c>
      <c r="G221" s="16">
        <v>0.01</v>
      </c>
      <c r="H221" s="15"/>
      <c r="I221" s="16"/>
      <c r="J221" s="15"/>
      <c r="K221" s="16"/>
      <c r="L221" s="15"/>
      <c r="M221" s="63"/>
      <c r="N221" s="17"/>
      <c r="O221" s="16"/>
      <c r="P221" s="16"/>
      <c r="Q221" s="152">
        <f t="shared" si="13"/>
        <v>0</v>
      </c>
      <c r="R221" s="152">
        <f t="shared" si="14"/>
        <v>0</v>
      </c>
      <c r="S221" s="152">
        <f t="shared" si="15"/>
        <v>0.01</v>
      </c>
      <c r="T221" s="18">
        <f t="shared" si="16"/>
        <v>0.01</v>
      </c>
    </row>
    <row r="222" spans="2:20" x14ac:dyDescent="0.25">
      <c r="B222" s="117" t="s">
        <v>471</v>
      </c>
      <c r="C222" s="136" t="s">
        <v>472</v>
      </c>
      <c r="D222" s="14" t="s">
        <v>15</v>
      </c>
      <c r="E222" s="14" t="s">
        <v>16</v>
      </c>
      <c r="F222" s="15">
        <v>43999</v>
      </c>
      <c r="G222" s="16">
        <v>0.193</v>
      </c>
      <c r="H222" s="15">
        <v>44176</v>
      </c>
      <c r="I222" s="16">
        <v>0.19400000000000001</v>
      </c>
      <c r="J222" s="15"/>
      <c r="K222" s="16"/>
      <c r="L222" s="15"/>
      <c r="M222" s="63"/>
      <c r="N222" s="17"/>
      <c r="O222" s="16"/>
      <c r="P222" s="16"/>
      <c r="Q222" s="152">
        <f t="shared" si="13"/>
        <v>0</v>
      </c>
      <c r="R222" s="152">
        <f t="shared" si="14"/>
        <v>0.193</v>
      </c>
      <c r="S222" s="152">
        <f t="shared" si="15"/>
        <v>0.193</v>
      </c>
      <c r="T222" s="18">
        <f t="shared" si="16"/>
        <v>0.38700000000000001</v>
      </c>
    </row>
    <row r="223" spans="2:20" x14ac:dyDescent="0.25">
      <c r="B223" s="117" t="s">
        <v>473</v>
      </c>
      <c r="C223" s="136" t="s">
        <v>474</v>
      </c>
      <c r="D223" s="14" t="s">
        <v>15</v>
      </c>
      <c r="E223" s="14" t="s">
        <v>475</v>
      </c>
      <c r="F223" s="15">
        <v>43963</v>
      </c>
      <c r="G223" s="16">
        <v>4.4000000000000004</v>
      </c>
      <c r="H223" s="15">
        <v>44112</v>
      </c>
      <c r="I223" s="16">
        <v>4.3</v>
      </c>
      <c r="J223" s="15"/>
      <c r="K223" s="16"/>
      <c r="L223" s="15"/>
      <c r="M223" s="63"/>
      <c r="N223" s="17"/>
      <c r="O223" s="16"/>
      <c r="P223" s="16"/>
      <c r="Q223" s="152">
        <f t="shared" si="13"/>
        <v>0</v>
      </c>
      <c r="R223" s="152">
        <f t="shared" si="14"/>
        <v>4.4000000000000004</v>
      </c>
      <c r="S223" s="152">
        <f t="shared" si="15"/>
        <v>4.4000000000000004</v>
      </c>
      <c r="T223" s="18">
        <f t="shared" si="16"/>
        <v>8.6999999999999993</v>
      </c>
    </row>
    <row r="224" spans="2:20" x14ac:dyDescent="0.25">
      <c r="B224" s="117" t="s">
        <v>476</v>
      </c>
      <c r="C224" s="136" t="s">
        <v>477</v>
      </c>
      <c r="D224" s="14" t="s">
        <v>15</v>
      </c>
      <c r="E224" s="14" t="s">
        <v>200</v>
      </c>
      <c r="F224" s="15">
        <v>43924</v>
      </c>
      <c r="G224" s="16">
        <v>0.9</v>
      </c>
      <c r="H224" s="15">
        <v>44126</v>
      </c>
      <c r="I224" s="16">
        <v>0.9</v>
      </c>
      <c r="J224" s="15">
        <v>44168</v>
      </c>
      <c r="K224" s="16">
        <v>0.65</v>
      </c>
      <c r="L224" s="15"/>
      <c r="M224" s="63"/>
      <c r="N224" s="17"/>
      <c r="O224" s="16"/>
      <c r="P224" s="16"/>
      <c r="Q224" s="152">
        <f t="shared" si="13"/>
        <v>0</v>
      </c>
      <c r="R224" s="152">
        <f t="shared" si="14"/>
        <v>0.9</v>
      </c>
      <c r="S224" s="152">
        <f t="shared" si="15"/>
        <v>0.9</v>
      </c>
      <c r="T224" s="18">
        <f t="shared" si="16"/>
        <v>2.4500000000000002</v>
      </c>
    </row>
    <row r="225" spans="2:20" x14ac:dyDescent="0.25">
      <c r="B225" s="117" t="s">
        <v>478</v>
      </c>
      <c r="C225" s="136" t="s">
        <v>479</v>
      </c>
      <c r="D225" s="14" t="s">
        <v>15</v>
      </c>
      <c r="E225" s="14" t="s">
        <v>16</v>
      </c>
      <c r="F225" s="15">
        <v>44004</v>
      </c>
      <c r="G225" s="16">
        <v>0.1653</v>
      </c>
      <c r="H225" s="15">
        <v>44158</v>
      </c>
      <c r="I225" s="16">
        <v>9.0899999999999995E-2</v>
      </c>
      <c r="J225" s="15"/>
      <c r="K225" s="16"/>
      <c r="L225" s="15"/>
      <c r="M225" s="63"/>
      <c r="N225" s="17"/>
      <c r="O225" s="16"/>
      <c r="P225" s="16"/>
      <c r="Q225" s="152">
        <f t="shared" si="13"/>
        <v>0</v>
      </c>
      <c r="R225" s="152">
        <f t="shared" si="14"/>
        <v>0</v>
      </c>
      <c r="S225" s="152">
        <f t="shared" si="15"/>
        <v>0.1653</v>
      </c>
      <c r="T225" s="18">
        <f t="shared" si="16"/>
        <v>0.25619999999999998</v>
      </c>
    </row>
    <row r="226" spans="2:20" x14ac:dyDescent="0.25">
      <c r="B226" s="117" t="s">
        <v>480</v>
      </c>
      <c r="C226" s="136" t="s">
        <v>481</v>
      </c>
      <c r="D226" s="14" t="s">
        <v>237</v>
      </c>
      <c r="E226" s="14" t="s">
        <v>16</v>
      </c>
      <c r="F226" s="15">
        <v>43472</v>
      </c>
      <c r="G226" s="16">
        <v>0.1394</v>
      </c>
      <c r="H226" s="15">
        <v>44173</v>
      </c>
      <c r="I226" s="16">
        <v>0.1394</v>
      </c>
      <c r="J226" s="15"/>
      <c r="K226" s="16"/>
      <c r="L226" s="15"/>
      <c r="M226" s="63"/>
      <c r="N226" s="17"/>
      <c r="O226" s="16"/>
      <c r="P226" s="16"/>
      <c r="Q226" s="152">
        <f t="shared" si="13"/>
        <v>0.1394</v>
      </c>
      <c r="R226" s="152">
        <f t="shared" si="14"/>
        <v>0.1394</v>
      </c>
      <c r="S226" s="152">
        <f t="shared" si="15"/>
        <v>0.1394</v>
      </c>
      <c r="T226" s="18">
        <f t="shared" si="16"/>
        <v>0.27879999999999999</v>
      </c>
    </row>
    <row r="227" spans="2:20" x14ac:dyDescent="0.25">
      <c r="B227" s="117" t="s">
        <v>482</v>
      </c>
      <c r="C227" s="136" t="s">
        <v>483</v>
      </c>
      <c r="D227" s="14" t="s">
        <v>15</v>
      </c>
      <c r="E227" s="14" t="s">
        <v>21</v>
      </c>
      <c r="F227" s="15">
        <v>43969</v>
      </c>
      <c r="G227" s="16">
        <v>5.5</v>
      </c>
      <c r="H227" s="15"/>
      <c r="I227" s="16"/>
      <c r="J227" s="15"/>
      <c r="K227" s="16"/>
      <c r="L227" s="15"/>
      <c r="M227" s="63"/>
      <c r="N227" s="17"/>
      <c r="O227" s="16"/>
      <c r="P227" s="16"/>
      <c r="Q227" s="152">
        <f t="shared" si="13"/>
        <v>0</v>
      </c>
      <c r="R227" s="152">
        <f t="shared" si="14"/>
        <v>5.5</v>
      </c>
      <c r="S227" s="152">
        <f t="shared" si="15"/>
        <v>5.5</v>
      </c>
      <c r="T227" s="18">
        <f t="shared" si="16"/>
        <v>5.5</v>
      </c>
    </row>
    <row r="228" spans="2:20" x14ac:dyDescent="0.25">
      <c r="B228" s="117" t="s">
        <v>484</v>
      </c>
      <c r="C228" s="136" t="s">
        <v>485</v>
      </c>
      <c r="D228" s="14" t="s">
        <v>15</v>
      </c>
      <c r="E228" s="14" t="s">
        <v>16</v>
      </c>
      <c r="F228" s="15"/>
      <c r="G228" s="16"/>
      <c r="H228" s="15"/>
      <c r="I228" s="16"/>
      <c r="J228" s="15"/>
      <c r="K228" s="16"/>
      <c r="L228" s="15"/>
      <c r="M228" s="63"/>
      <c r="N228" s="17"/>
      <c r="O228" s="16"/>
      <c r="P228" s="16"/>
      <c r="Q228" s="152">
        <f t="shared" si="13"/>
        <v>0</v>
      </c>
      <c r="R228" s="152">
        <f t="shared" si="14"/>
        <v>0</v>
      </c>
      <c r="S228" s="152">
        <f t="shared" si="15"/>
        <v>0</v>
      </c>
      <c r="T228" s="18">
        <f t="shared" si="16"/>
        <v>0</v>
      </c>
    </row>
    <row r="229" spans="2:20" x14ac:dyDescent="0.25">
      <c r="B229" s="117" t="s">
        <v>486</v>
      </c>
      <c r="C229" s="136" t="s">
        <v>487</v>
      </c>
      <c r="D229" s="14" t="s">
        <v>15</v>
      </c>
      <c r="E229" s="14" t="s">
        <v>16</v>
      </c>
      <c r="F229" s="15"/>
      <c r="G229" s="16"/>
      <c r="H229" s="15"/>
      <c r="I229" s="16"/>
      <c r="J229" s="15"/>
      <c r="K229" s="16"/>
      <c r="L229" s="15"/>
      <c r="M229" s="63"/>
      <c r="N229" s="17"/>
      <c r="O229" s="16"/>
      <c r="P229" s="16"/>
      <c r="Q229" s="152">
        <f t="shared" si="13"/>
        <v>0</v>
      </c>
      <c r="R229" s="152">
        <f t="shared" si="14"/>
        <v>0</v>
      </c>
      <c r="S229" s="152">
        <f t="shared" si="15"/>
        <v>0</v>
      </c>
      <c r="T229" s="18">
        <f t="shared" si="16"/>
        <v>0</v>
      </c>
    </row>
    <row r="230" spans="2:20" x14ac:dyDescent="0.25">
      <c r="B230" s="117" t="s">
        <v>709</v>
      </c>
      <c r="C230" s="136" t="s">
        <v>489</v>
      </c>
      <c r="D230" s="14" t="s">
        <v>24</v>
      </c>
      <c r="E230" s="14" t="s">
        <v>16</v>
      </c>
      <c r="F230" s="15">
        <v>43836</v>
      </c>
      <c r="G230" s="16">
        <v>0.66</v>
      </c>
      <c r="H230" s="15">
        <v>43920</v>
      </c>
      <c r="I230" s="16">
        <v>0.68</v>
      </c>
      <c r="J230" s="15">
        <v>44011</v>
      </c>
      <c r="K230" s="16">
        <v>0.68</v>
      </c>
      <c r="L230" s="15">
        <v>44099</v>
      </c>
      <c r="M230" s="63">
        <v>0.66</v>
      </c>
      <c r="N230" s="17"/>
      <c r="O230" s="16"/>
      <c r="P230" s="16"/>
      <c r="Q230" s="152">
        <f t="shared" si="13"/>
        <v>0.66</v>
      </c>
      <c r="R230" s="152">
        <f t="shared" si="14"/>
        <v>1.34</v>
      </c>
      <c r="S230" s="152">
        <f t="shared" si="15"/>
        <v>2.02</v>
      </c>
      <c r="T230" s="18">
        <f t="shared" si="16"/>
        <v>2.68</v>
      </c>
    </row>
    <row r="231" spans="2:20" x14ac:dyDescent="0.25">
      <c r="B231" s="117" t="s">
        <v>492</v>
      </c>
      <c r="C231" s="136" t="s">
        <v>493</v>
      </c>
      <c r="D231" s="14" t="s">
        <v>15</v>
      </c>
      <c r="E231" s="14" t="s">
        <v>21</v>
      </c>
      <c r="F231" s="15">
        <v>43956</v>
      </c>
      <c r="G231" s="16">
        <v>0.35210000000000002</v>
      </c>
      <c r="H231" s="15">
        <v>44159</v>
      </c>
      <c r="I231" s="16">
        <v>0.1825</v>
      </c>
      <c r="J231" s="15"/>
      <c r="K231" s="16"/>
      <c r="L231" s="15"/>
      <c r="M231" s="63"/>
      <c r="N231" s="17"/>
      <c r="O231" s="16"/>
      <c r="P231" s="16"/>
      <c r="Q231" s="152">
        <f t="shared" si="13"/>
        <v>0</v>
      </c>
      <c r="R231" s="152">
        <f t="shared" si="14"/>
        <v>0.35210000000000002</v>
      </c>
      <c r="S231" s="152">
        <f t="shared" si="15"/>
        <v>0.35210000000000002</v>
      </c>
      <c r="T231" s="18">
        <f t="shared" si="16"/>
        <v>0.53459999999999996</v>
      </c>
    </row>
    <row r="232" spans="2:20" x14ac:dyDescent="0.25">
      <c r="B232" s="117" t="s">
        <v>494</v>
      </c>
      <c r="C232" s="136" t="s">
        <v>495</v>
      </c>
      <c r="D232" s="14" t="s">
        <v>27</v>
      </c>
      <c r="E232" s="14" t="s">
        <v>16</v>
      </c>
      <c r="F232" s="15">
        <v>43955</v>
      </c>
      <c r="G232" s="16">
        <v>1.24</v>
      </c>
      <c r="H232" s="15"/>
      <c r="I232" s="16"/>
      <c r="J232" s="15"/>
      <c r="K232" s="16"/>
      <c r="L232" s="15"/>
      <c r="M232" s="151"/>
      <c r="N232" s="17"/>
      <c r="O232" s="16"/>
      <c r="P232" s="16"/>
      <c r="Q232" s="152">
        <f t="shared" si="13"/>
        <v>0</v>
      </c>
      <c r="R232" s="152">
        <f t="shared" si="14"/>
        <v>1.24</v>
      </c>
      <c r="S232" s="152">
        <f t="shared" si="15"/>
        <v>1.24</v>
      </c>
      <c r="T232" s="18">
        <f t="shared" si="16"/>
        <v>1.24</v>
      </c>
    </row>
    <row r="233" spans="2:20" x14ac:dyDescent="0.25">
      <c r="B233" s="117" t="s">
        <v>496</v>
      </c>
      <c r="C233" s="136" t="s">
        <v>497</v>
      </c>
      <c r="D233" s="14" t="s">
        <v>27</v>
      </c>
      <c r="E233" s="14" t="s">
        <v>16</v>
      </c>
      <c r="F233" s="15">
        <v>44064</v>
      </c>
      <c r="G233" s="16">
        <v>0.25</v>
      </c>
      <c r="H233" s="15"/>
      <c r="I233" s="16"/>
      <c r="J233" s="15"/>
      <c r="K233" s="16"/>
      <c r="L233" s="15"/>
      <c r="M233" s="151"/>
      <c r="N233" s="17"/>
      <c r="O233" s="16"/>
      <c r="P233" s="16"/>
      <c r="Q233" s="152">
        <f t="shared" si="13"/>
        <v>0</v>
      </c>
      <c r="R233" s="152">
        <f t="shared" si="14"/>
        <v>0</v>
      </c>
      <c r="S233" s="152">
        <f t="shared" si="15"/>
        <v>0.25</v>
      </c>
      <c r="T233" s="18">
        <f t="shared" si="16"/>
        <v>0.25</v>
      </c>
    </row>
    <row r="234" spans="2:20" x14ac:dyDescent="0.25">
      <c r="B234" s="117" t="s">
        <v>622</v>
      </c>
      <c r="C234" s="136" t="s">
        <v>499</v>
      </c>
      <c r="D234" s="14" t="s">
        <v>15</v>
      </c>
      <c r="E234" s="14" t="s">
        <v>16</v>
      </c>
      <c r="F234" s="15">
        <v>43914</v>
      </c>
      <c r="G234" s="16">
        <v>5.4</v>
      </c>
      <c r="H234" s="15"/>
      <c r="I234" s="16"/>
      <c r="J234" s="15"/>
      <c r="K234" s="16"/>
      <c r="L234" s="15"/>
      <c r="M234" s="63"/>
      <c r="N234" s="17"/>
      <c r="O234" s="16"/>
      <c r="P234" s="16"/>
      <c r="Q234" s="152">
        <f t="shared" si="13"/>
        <v>0</v>
      </c>
      <c r="R234" s="152">
        <f t="shared" si="14"/>
        <v>5.4</v>
      </c>
      <c r="S234" s="152">
        <f t="shared" si="15"/>
        <v>5.4</v>
      </c>
      <c r="T234" s="18">
        <f t="shared" si="16"/>
        <v>5.4</v>
      </c>
    </row>
    <row r="235" spans="2:20" x14ac:dyDescent="0.25">
      <c r="B235" s="117" t="s">
        <v>500</v>
      </c>
      <c r="C235" s="136" t="s">
        <v>501</v>
      </c>
      <c r="D235" s="14" t="s">
        <v>15</v>
      </c>
      <c r="E235" s="14" t="s">
        <v>16</v>
      </c>
      <c r="F235" s="15"/>
      <c r="G235" s="16"/>
      <c r="H235" s="15"/>
      <c r="I235" s="16"/>
      <c r="J235" s="15"/>
      <c r="K235" s="16"/>
      <c r="L235" s="15"/>
      <c r="M235" s="63"/>
      <c r="N235" s="17"/>
      <c r="O235" s="16"/>
      <c r="P235" s="16"/>
      <c r="Q235" s="152">
        <f t="shared" si="13"/>
        <v>0</v>
      </c>
      <c r="R235" s="152">
        <f t="shared" si="14"/>
        <v>0</v>
      </c>
      <c r="S235" s="152">
        <f t="shared" si="15"/>
        <v>0</v>
      </c>
      <c r="T235" s="18">
        <f t="shared" si="16"/>
        <v>0</v>
      </c>
    </row>
    <row r="236" spans="2:20" x14ac:dyDescent="0.25">
      <c r="B236" s="117" t="s">
        <v>504</v>
      </c>
      <c r="C236" s="136" t="s">
        <v>505</v>
      </c>
      <c r="D236" s="14" t="s">
        <v>15</v>
      </c>
      <c r="E236" s="14" t="s">
        <v>16</v>
      </c>
      <c r="F236" s="15">
        <v>43881</v>
      </c>
      <c r="G236" s="16">
        <v>0.41039999999999999</v>
      </c>
      <c r="H236" s="15">
        <v>43965</v>
      </c>
      <c r="I236" s="16">
        <v>0.41039999999999999</v>
      </c>
      <c r="J236" s="15">
        <v>44049</v>
      </c>
      <c r="K236" s="16">
        <v>0.41039999999999999</v>
      </c>
      <c r="L236" s="15">
        <v>44133</v>
      </c>
      <c r="M236" s="63">
        <v>0.41039999999999999</v>
      </c>
      <c r="N236" s="17"/>
      <c r="O236" s="16"/>
      <c r="P236" s="16"/>
      <c r="Q236" s="152">
        <f t="shared" si="13"/>
        <v>0.41039999999999999</v>
      </c>
      <c r="R236" s="152">
        <f t="shared" si="14"/>
        <v>0.82079999999999997</v>
      </c>
      <c r="S236" s="152">
        <f t="shared" si="15"/>
        <v>1.2311999999999999</v>
      </c>
      <c r="T236" s="18">
        <f t="shared" si="16"/>
        <v>1.6415999999999999</v>
      </c>
    </row>
    <row r="237" spans="2:20" x14ac:dyDescent="0.25">
      <c r="B237" s="117" t="s">
        <v>506</v>
      </c>
      <c r="C237" s="136" t="s">
        <v>507</v>
      </c>
      <c r="D237" s="14" t="s">
        <v>15</v>
      </c>
      <c r="E237" s="14" t="s">
        <v>77</v>
      </c>
      <c r="F237" s="15">
        <v>43881</v>
      </c>
      <c r="G237" s="16">
        <v>34.72</v>
      </c>
      <c r="H237" s="15">
        <v>43965</v>
      </c>
      <c r="I237" s="16">
        <v>36.14</v>
      </c>
      <c r="J237" s="15">
        <v>44049</v>
      </c>
      <c r="K237" s="16">
        <v>36.979999999999997</v>
      </c>
      <c r="L237" s="15">
        <v>44133</v>
      </c>
      <c r="M237" s="63">
        <v>37.46</v>
      </c>
      <c r="N237" s="17"/>
      <c r="O237" s="16"/>
      <c r="P237" s="16"/>
      <c r="Q237" s="152">
        <f t="shared" si="13"/>
        <v>34.72</v>
      </c>
      <c r="R237" s="152">
        <f t="shared" si="14"/>
        <v>70.86</v>
      </c>
      <c r="S237" s="152">
        <f t="shared" si="15"/>
        <v>107.84</v>
      </c>
      <c r="T237" s="18">
        <f t="shared" si="16"/>
        <v>145.30000000000001</v>
      </c>
    </row>
    <row r="238" spans="2:20" x14ac:dyDescent="0.25">
      <c r="B238" s="117" t="s">
        <v>508</v>
      </c>
      <c r="C238" s="136" t="s">
        <v>509</v>
      </c>
      <c r="D238" s="14" t="s">
        <v>15</v>
      </c>
      <c r="E238" s="14" t="s">
        <v>16</v>
      </c>
      <c r="F238" s="15">
        <v>43969</v>
      </c>
      <c r="G238" s="16">
        <v>0.16</v>
      </c>
      <c r="H238" s="15"/>
      <c r="I238" s="16"/>
      <c r="J238" s="15"/>
      <c r="K238" s="16"/>
      <c r="L238" s="15"/>
      <c r="M238" s="63"/>
      <c r="N238" s="17"/>
      <c r="O238" s="16"/>
      <c r="P238" s="16"/>
      <c r="Q238" s="152">
        <f t="shared" si="13"/>
        <v>0</v>
      </c>
      <c r="R238" s="152">
        <f t="shared" si="14"/>
        <v>0.16</v>
      </c>
      <c r="S238" s="152">
        <f t="shared" si="15"/>
        <v>0.16</v>
      </c>
      <c r="T238" s="18">
        <f t="shared" si="16"/>
        <v>0.16</v>
      </c>
    </row>
    <row r="239" spans="2:20" x14ac:dyDescent="0.25">
      <c r="B239" s="117" t="s">
        <v>510</v>
      </c>
      <c r="C239" s="136" t="s">
        <v>511</v>
      </c>
      <c r="D239" s="14" t="s">
        <v>15</v>
      </c>
      <c r="E239" s="14" t="s">
        <v>77</v>
      </c>
      <c r="F239" s="15">
        <v>44007</v>
      </c>
      <c r="G239" s="16">
        <v>28.4</v>
      </c>
      <c r="H239" s="15">
        <v>44182</v>
      </c>
      <c r="I239" s="16">
        <v>14.41</v>
      </c>
      <c r="J239" s="15"/>
      <c r="K239" s="16"/>
      <c r="L239" s="15"/>
      <c r="M239" s="63"/>
      <c r="N239" s="17"/>
      <c r="O239" s="16"/>
      <c r="P239" s="16"/>
      <c r="Q239" s="152">
        <f t="shared" si="13"/>
        <v>0</v>
      </c>
      <c r="R239" s="152">
        <f t="shared" si="14"/>
        <v>0</v>
      </c>
      <c r="S239" s="152">
        <f t="shared" si="15"/>
        <v>28.4</v>
      </c>
      <c r="T239" s="18">
        <f t="shared" si="16"/>
        <v>42.81</v>
      </c>
    </row>
    <row r="240" spans="2:20" x14ac:dyDescent="0.25">
      <c r="B240" s="117" t="s">
        <v>692</v>
      </c>
      <c r="C240" s="136" t="s">
        <v>693</v>
      </c>
      <c r="D240" s="14" t="s">
        <v>15</v>
      </c>
      <c r="E240" s="14" t="s">
        <v>16</v>
      </c>
      <c r="F240" s="142">
        <v>43986</v>
      </c>
      <c r="G240" s="143">
        <v>0.18</v>
      </c>
      <c r="H240" s="142"/>
      <c r="I240" s="143"/>
      <c r="J240" s="142"/>
      <c r="K240" s="143"/>
      <c r="L240" s="142"/>
      <c r="M240" s="150"/>
      <c r="N240" s="144"/>
      <c r="O240" s="143"/>
      <c r="P240" s="143"/>
      <c r="Q240" s="152">
        <f t="shared" si="13"/>
        <v>0</v>
      </c>
      <c r="R240" s="152">
        <f t="shared" si="14"/>
        <v>0.18</v>
      </c>
      <c r="S240" s="152">
        <f t="shared" si="15"/>
        <v>0.18</v>
      </c>
      <c r="T240" s="18">
        <f t="shared" si="16"/>
        <v>0.18</v>
      </c>
    </row>
    <row r="241" spans="2:20" x14ac:dyDescent="0.25">
      <c r="B241" s="117" t="s">
        <v>512</v>
      </c>
      <c r="C241" s="136" t="s">
        <v>513</v>
      </c>
      <c r="D241" s="14" t="s">
        <v>24</v>
      </c>
      <c r="E241" s="14" t="s">
        <v>16</v>
      </c>
      <c r="F241" s="15">
        <v>44011</v>
      </c>
      <c r="G241" s="16">
        <v>0.2</v>
      </c>
      <c r="H241" s="15"/>
      <c r="I241" s="16"/>
      <c r="J241" s="15"/>
      <c r="K241" s="16"/>
      <c r="L241" s="15"/>
      <c r="M241" s="63"/>
      <c r="N241" s="17"/>
      <c r="O241" s="16"/>
      <c r="P241" s="16"/>
      <c r="Q241" s="152">
        <f t="shared" si="13"/>
        <v>0</v>
      </c>
      <c r="R241" s="152">
        <f t="shared" si="14"/>
        <v>0</v>
      </c>
      <c r="S241" s="152">
        <f t="shared" si="15"/>
        <v>0.2</v>
      </c>
      <c r="T241" s="18">
        <f t="shared" si="16"/>
        <v>0.2</v>
      </c>
    </row>
    <row r="242" spans="2:20" x14ac:dyDescent="0.25">
      <c r="B242" s="117" t="s">
        <v>514</v>
      </c>
      <c r="C242" s="136" t="s">
        <v>515</v>
      </c>
      <c r="D242" s="14" t="s">
        <v>24</v>
      </c>
      <c r="E242" s="14" t="s">
        <v>16</v>
      </c>
      <c r="F242" s="15"/>
      <c r="G242" s="16"/>
      <c r="H242" s="15"/>
      <c r="I242" s="16"/>
      <c r="J242" s="15"/>
      <c r="K242" s="16"/>
      <c r="L242" s="15"/>
      <c r="M242" s="16"/>
      <c r="N242" s="17"/>
      <c r="O242" s="16"/>
      <c r="P242" s="16"/>
      <c r="Q242" s="152">
        <f t="shared" si="13"/>
        <v>0</v>
      </c>
      <c r="R242" s="152">
        <f t="shared" si="14"/>
        <v>0</v>
      </c>
      <c r="S242" s="152">
        <f t="shared" si="15"/>
        <v>0</v>
      </c>
      <c r="T242" s="18">
        <f t="shared" si="16"/>
        <v>0</v>
      </c>
    </row>
    <row r="243" spans="2:20" x14ac:dyDescent="0.25">
      <c r="B243" s="117" t="s">
        <v>516</v>
      </c>
      <c r="C243" s="136" t="s">
        <v>517</v>
      </c>
      <c r="D243" s="14" t="s">
        <v>24</v>
      </c>
      <c r="E243" s="14" t="s">
        <v>16</v>
      </c>
      <c r="F243" s="15">
        <v>43963</v>
      </c>
      <c r="G243" s="16">
        <v>0.5</v>
      </c>
      <c r="H243" s="15"/>
      <c r="I243" s="16"/>
      <c r="J243" s="15"/>
      <c r="K243" s="16"/>
      <c r="L243" s="15"/>
      <c r="M243" s="63"/>
      <c r="N243" s="17"/>
      <c r="O243" s="16"/>
      <c r="P243" s="16"/>
      <c r="Q243" s="152">
        <f t="shared" si="13"/>
        <v>0</v>
      </c>
      <c r="R243" s="152">
        <f t="shared" si="14"/>
        <v>0.5</v>
      </c>
      <c r="S243" s="152">
        <f t="shared" si="15"/>
        <v>0.5</v>
      </c>
      <c r="T243" s="18">
        <f t="shared" si="16"/>
        <v>0.5</v>
      </c>
    </row>
    <row r="244" spans="2:20" x14ac:dyDescent="0.25">
      <c r="B244" s="117" t="s">
        <v>727</v>
      </c>
      <c r="C244" s="136" t="s">
        <v>728</v>
      </c>
      <c r="D244" s="14" t="s">
        <v>24</v>
      </c>
      <c r="E244" s="14" t="s">
        <v>16</v>
      </c>
      <c r="F244" s="15"/>
      <c r="G244" s="16"/>
      <c r="H244" s="15"/>
      <c r="I244" s="16"/>
      <c r="J244" s="15"/>
      <c r="K244" s="16"/>
      <c r="L244" s="15"/>
      <c r="M244" s="63"/>
      <c r="N244" s="17"/>
      <c r="O244" s="16"/>
      <c r="P244" s="16"/>
      <c r="Q244" s="152">
        <f t="shared" si="13"/>
        <v>0</v>
      </c>
      <c r="R244" s="152">
        <f t="shared" si="14"/>
        <v>0</v>
      </c>
      <c r="S244" s="152">
        <f t="shared" si="15"/>
        <v>0</v>
      </c>
      <c r="T244" s="18">
        <f t="shared" si="16"/>
        <v>0</v>
      </c>
    </row>
    <row r="245" spans="2:20" x14ac:dyDescent="0.25">
      <c r="B245" s="117" t="s">
        <v>520</v>
      </c>
      <c r="C245" s="136" t="s">
        <v>521</v>
      </c>
      <c r="D245" s="14" t="s">
        <v>24</v>
      </c>
      <c r="E245" s="14" t="s">
        <v>16</v>
      </c>
      <c r="F245" s="15">
        <v>44005</v>
      </c>
      <c r="G245" s="16">
        <v>1.25</v>
      </c>
      <c r="H245" s="15"/>
      <c r="I245" s="16"/>
      <c r="J245" s="15"/>
      <c r="K245" s="16"/>
      <c r="L245" s="15"/>
      <c r="M245" s="63"/>
      <c r="N245" s="17"/>
      <c r="O245" s="16"/>
      <c r="P245" s="16"/>
      <c r="Q245" s="152">
        <f t="shared" si="13"/>
        <v>0</v>
      </c>
      <c r="R245" s="152">
        <f t="shared" si="14"/>
        <v>0</v>
      </c>
      <c r="S245" s="152">
        <f t="shared" si="15"/>
        <v>1.25</v>
      </c>
      <c r="T245" s="18">
        <f t="shared" si="16"/>
        <v>1.25</v>
      </c>
    </row>
    <row r="246" spans="2:20" x14ac:dyDescent="0.25">
      <c r="B246" s="117" t="s">
        <v>524</v>
      </c>
      <c r="C246" s="136" t="s">
        <v>525</v>
      </c>
      <c r="D246" s="14" t="s">
        <v>24</v>
      </c>
      <c r="E246" s="14" t="s">
        <v>16</v>
      </c>
      <c r="F246" s="15">
        <v>43942</v>
      </c>
      <c r="G246" s="16">
        <v>0.6</v>
      </c>
      <c r="H246" s="15"/>
      <c r="I246" s="16"/>
      <c r="J246" s="15"/>
      <c r="K246" s="16"/>
      <c r="L246" s="15"/>
      <c r="M246" s="63"/>
      <c r="N246" s="17"/>
      <c r="O246" s="16"/>
      <c r="P246" s="16"/>
      <c r="Q246" s="152">
        <f t="shared" si="13"/>
        <v>0</v>
      </c>
      <c r="R246" s="152">
        <f t="shared" si="14"/>
        <v>0.6</v>
      </c>
      <c r="S246" s="152">
        <f t="shared" si="15"/>
        <v>0.6</v>
      </c>
      <c r="T246" s="18">
        <f t="shared" si="16"/>
        <v>0.6</v>
      </c>
    </row>
    <row r="247" spans="2:20" x14ac:dyDescent="0.25">
      <c r="B247" s="117" t="s">
        <v>526</v>
      </c>
      <c r="C247" s="136" t="s">
        <v>527</v>
      </c>
      <c r="D247" s="14" t="s">
        <v>15</v>
      </c>
      <c r="E247" s="14" t="s">
        <v>77</v>
      </c>
      <c r="F247" s="15">
        <v>43993</v>
      </c>
      <c r="G247" s="16">
        <f>(0.045*0.88963)*100</f>
        <v>4.0033349999999999</v>
      </c>
      <c r="H247" s="15">
        <v>44182</v>
      </c>
      <c r="I247" s="16">
        <f>(0.045*0.8995)*100</f>
        <v>4.0477499999999997</v>
      </c>
      <c r="J247" s="15"/>
      <c r="K247" s="16"/>
      <c r="L247" s="15"/>
      <c r="M247" s="63"/>
      <c r="N247" s="17"/>
      <c r="O247" s="16"/>
      <c r="P247" s="16"/>
      <c r="Q247" s="152">
        <f t="shared" si="13"/>
        <v>0</v>
      </c>
      <c r="R247" s="152">
        <f t="shared" si="14"/>
        <v>4.0033349999999999</v>
      </c>
      <c r="S247" s="152">
        <f t="shared" si="15"/>
        <v>4.0033349999999999</v>
      </c>
      <c r="T247" s="18">
        <f t="shared" si="16"/>
        <v>8.0510850000000005</v>
      </c>
    </row>
    <row r="248" spans="2:20" x14ac:dyDescent="0.25">
      <c r="B248" s="117" t="s">
        <v>528</v>
      </c>
      <c r="C248" s="136" t="s">
        <v>529</v>
      </c>
      <c r="D248" s="14" t="s">
        <v>15</v>
      </c>
      <c r="E248" s="14" t="s">
        <v>16</v>
      </c>
      <c r="F248" s="15">
        <v>44105</v>
      </c>
      <c r="G248" s="16">
        <v>4.8600000000000003</v>
      </c>
      <c r="H248" s="15"/>
      <c r="I248" s="16"/>
      <c r="J248" s="15"/>
      <c r="K248" s="16"/>
      <c r="L248" s="15"/>
      <c r="M248" s="63"/>
      <c r="N248" s="17"/>
      <c r="O248" s="16"/>
      <c r="P248" s="16"/>
      <c r="Q248" s="152">
        <f t="shared" si="13"/>
        <v>0</v>
      </c>
      <c r="R248" s="152">
        <f t="shared" si="14"/>
        <v>0</v>
      </c>
      <c r="S248" s="152">
        <f t="shared" si="15"/>
        <v>0</v>
      </c>
      <c r="T248" s="18">
        <f t="shared" si="16"/>
        <v>4.8600000000000003</v>
      </c>
    </row>
    <row r="249" spans="2:20" x14ac:dyDescent="0.25">
      <c r="B249" s="117" t="s">
        <v>530</v>
      </c>
      <c r="C249" s="136" t="s">
        <v>531</v>
      </c>
      <c r="D249" s="14" t="s">
        <v>15</v>
      </c>
      <c r="E249" s="14" t="s">
        <v>200</v>
      </c>
      <c r="F249" s="15"/>
      <c r="G249" s="16"/>
      <c r="H249" s="15"/>
      <c r="I249" s="16"/>
      <c r="J249" s="15"/>
      <c r="K249" s="16"/>
      <c r="L249" s="15"/>
      <c r="M249" s="63"/>
      <c r="N249" s="17"/>
      <c r="O249" s="16"/>
      <c r="P249" s="16"/>
      <c r="Q249" s="152">
        <f t="shared" si="13"/>
        <v>0</v>
      </c>
      <c r="R249" s="152">
        <f t="shared" si="14"/>
        <v>0</v>
      </c>
      <c r="S249" s="152">
        <f t="shared" si="15"/>
        <v>0</v>
      </c>
      <c r="T249" s="18">
        <f t="shared" si="16"/>
        <v>0</v>
      </c>
    </row>
    <row r="250" spans="2:20" x14ac:dyDescent="0.25">
      <c r="B250" s="117" t="s">
        <v>532</v>
      </c>
      <c r="C250" s="136" t="s">
        <v>533</v>
      </c>
      <c r="D250" s="14" t="s">
        <v>15</v>
      </c>
      <c r="E250" s="14" t="s">
        <v>16</v>
      </c>
      <c r="F250" s="15">
        <v>44013</v>
      </c>
      <c r="G250" s="16">
        <v>1.57</v>
      </c>
      <c r="H250" s="15"/>
      <c r="I250" s="16"/>
      <c r="J250" s="15"/>
      <c r="K250" s="16"/>
      <c r="L250" s="15"/>
      <c r="M250" s="63"/>
      <c r="N250" s="17"/>
      <c r="O250" s="16"/>
      <c r="P250" s="16"/>
      <c r="Q250" s="152">
        <f t="shared" si="13"/>
        <v>0</v>
      </c>
      <c r="R250" s="152">
        <f t="shared" si="14"/>
        <v>0</v>
      </c>
      <c r="S250" s="152">
        <f t="shared" si="15"/>
        <v>1.57</v>
      </c>
      <c r="T250" s="18">
        <f t="shared" si="16"/>
        <v>1.57</v>
      </c>
    </row>
    <row r="251" spans="2:20" x14ac:dyDescent="0.25">
      <c r="B251" s="117" t="s">
        <v>534</v>
      </c>
      <c r="C251" s="136" t="s">
        <v>535</v>
      </c>
      <c r="D251" s="14" t="s">
        <v>15</v>
      </c>
      <c r="E251" s="14" t="s">
        <v>16</v>
      </c>
      <c r="F251" s="15">
        <v>43944</v>
      </c>
      <c r="G251" s="16">
        <v>1.1499999999999999</v>
      </c>
      <c r="H251" s="15"/>
      <c r="I251" s="16"/>
      <c r="J251" s="15"/>
      <c r="K251" s="16"/>
      <c r="L251" s="15"/>
      <c r="M251" s="63"/>
      <c r="N251" s="17"/>
      <c r="O251" s="16"/>
      <c r="P251" s="16"/>
      <c r="Q251" s="152">
        <f t="shared" si="13"/>
        <v>0</v>
      </c>
      <c r="R251" s="152">
        <f t="shared" si="14"/>
        <v>1.1499999999999999</v>
      </c>
      <c r="S251" s="152">
        <f t="shared" si="15"/>
        <v>1.1499999999999999</v>
      </c>
      <c r="T251" s="18">
        <f t="shared" si="16"/>
        <v>1.1499999999999999</v>
      </c>
    </row>
    <row r="252" spans="2:20" x14ac:dyDescent="0.25">
      <c r="B252" s="117" t="s">
        <v>540</v>
      </c>
      <c r="C252" s="136" t="s">
        <v>541</v>
      </c>
      <c r="D252" s="14" t="s">
        <v>15</v>
      </c>
      <c r="E252" s="14" t="s">
        <v>77</v>
      </c>
      <c r="F252" s="15">
        <v>43972</v>
      </c>
      <c r="G252" s="16">
        <f>4.84*0.97815998</f>
        <v>4.7342943032000004</v>
      </c>
      <c r="H252" s="15">
        <v>44098</v>
      </c>
      <c r="I252" s="16">
        <f>2.04*0.97815998</f>
        <v>1.9954463592</v>
      </c>
      <c r="J252" s="15"/>
      <c r="K252" s="16"/>
      <c r="L252" s="15"/>
      <c r="M252" s="63"/>
      <c r="N252" s="17"/>
      <c r="O252" s="16"/>
      <c r="P252" s="16"/>
      <c r="Q252" s="152">
        <f t="shared" si="13"/>
        <v>0</v>
      </c>
      <c r="R252" s="152">
        <f t="shared" si="14"/>
        <v>4.7342943032000004</v>
      </c>
      <c r="S252" s="152">
        <f t="shared" si="15"/>
        <v>4.7342943032000004</v>
      </c>
      <c r="T252" s="18">
        <f t="shared" si="16"/>
        <v>6.7297406624000002</v>
      </c>
    </row>
    <row r="253" spans="2:20" x14ac:dyDescent="0.25">
      <c r="B253" s="117" t="s">
        <v>542</v>
      </c>
      <c r="C253" s="136" t="s">
        <v>543</v>
      </c>
      <c r="D253" s="14" t="s">
        <v>15</v>
      </c>
      <c r="E253" s="14" t="s">
        <v>16</v>
      </c>
      <c r="F253" s="15">
        <v>43948</v>
      </c>
      <c r="G253" s="16">
        <v>0.79</v>
      </c>
      <c r="H253" s="15">
        <v>44075</v>
      </c>
      <c r="I253" s="16">
        <v>0.47</v>
      </c>
      <c r="J253" s="15"/>
      <c r="K253" s="16"/>
      <c r="L253" s="15"/>
      <c r="M253" s="63"/>
      <c r="N253" s="17"/>
      <c r="O253" s="16"/>
      <c r="P253" s="16"/>
      <c r="Q253" s="152">
        <f t="shared" si="13"/>
        <v>0</v>
      </c>
      <c r="R253" s="152">
        <f t="shared" si="14"/>
        <v>0.79</v>
      </c>
      <c r="S253" s="152">
        <f t="shared" si="15"/>
        <v>1.26</v>
      </c>
      <c r="T253" s="18">
        <f t="shared" si="16"/>
        <v>1.26</v>
      </c>
    </row>
    <row r="254" spans="2:20" x14ac:dyDescent="0.25">
      <c r="B254" s="117" t="s">
        <v>544</v>
      </c>
      <c r="C254" s="136" t="s">
        <v>545</v>
      </c>
      <c r="D254" s="14" t="s">
        <v>15</v>
      </c>
      <c r="E254" s="14" t="s">
        <v>77</v>
      </c>
      <c r="F254" s="15">
        <v>44112</v>
      </c>
      <c r="G254" s="16">
        <v>10</v>
      </c>
      <c r="H254" s="15"/>
      <c r="I254" s="16"/>
      <c r="J254" s="15"/>
      <c r="K254" s="16"/>
      <c r="L254" s="15"/>
      <c r="M254" s="63"/>
      <c r="N254" s="17"/>
      <c r="O254" s="16"/>
      <c r="P254" s="16"/>
      <c r="Q254" s="152">
        <f t="shared" si="13"/>
        <v>0</v>
      </c>
      <c r="R254" s="152">
        <f t="shared" si="14"/>
        <v>0</v>
      </c>
      <c r="S254" s="152">
        <f t="shared" si="15"/>
        <v>0</v>
      </c>
      <c r="T254" s="18">
        <f t="shared" si="16"/>
        <v>10</v>
      </c>
    </row>
    <row r="255" spans="2:20" x14ac:dyDescent="0.25">
      <c r="B255" s="117" t="s">
        <v>548</v>
      </c>
      <c r="C255" s="136" t="s">
        <v>549</v>
      </c>
      <c r="D255" s="14" t="s">
        <v>15</v>
      </c>
      <c r="E255" s="14" t="s">
        <v>21</v>
      </c>
      <c r="F255" s="15">
        <v>43924</v>
      </c>
      <c r="G255" s="16">
        <v>20</v>
      </c>
      <c r="H255" s="15"/>
      <c r="I255" s="16"/>
      <c r="J255" s="15"/>
      <c r="K255" s="16"/>
      <c r="L255" s="15"/>
      <c r="M255" s="63"/>
      <c r="N255" s="17"/>
      <c r="O255" s="16"/>
      <c r="P255" s="16"/>
      <c r="Q255" s="152">
        <f t="shared" si="13"/>
        <v>0</v>
      </c>
      <c r="R255" s="152">
        <f t="shared" si="14"/>
        <v>20</v>
      </c>
      <c r="S255" s="152">
        <f t="shared" si="15"/>
        <v>20</v>
      </c>
      <c r="T255" s="18">
        <f t="shared" si="16"/>
        <v>20</v>
      </c>
    </row>
    <row r="256" spans="2:20" x14ac:dyDescent="0.25">
      <c r="B256" s="134" t="s">
        <v>557</v>
      </c>
      <c r="C256" s="135" t="s">
        <v>584</v>
      </c>
      <c r="D256" s="135" t="s">
        <v>55</v>
      </c>
      <c r="E256" s="22" t="s">
        <v>56</v>
      </c>
      <c r="F256" s="23">
        <v>43874</v>
      </c>
      <c r="G256" s="24">
        <v>1.47</v>
      </c>
      <c r="H256" s="23">
        <v>43972</v>
      </c>
      <c r="I256" s="24">
        <v>1.47</v>
      </c>
      <c r="J256" s="23">
        <v>44064</v>
      </c>
      <c r="K256" s="24">
        <v>1.47</v>
      </c>
      <c r="L256" s="23">
        <v>44154</v>
      </c>
      <c r="M256" s="24">
        <v>1.47</v>
      </c>
      <c r="N256" s="25"/>
      <c r="O256" s="24"/>
      <c r="P256" s="24"/>
      <c r="Q256" s="24"/>
      <c r="R256" s="24"/>
      <c r="S256" s="24"/>
      <c r="T256" s="26">
        <f t="shared" ref="T256:T287" si="17">G256+I256+K256+M256+O256</f>
        <v>5.88</v>
      </c>
    </row>
    <row r="257" spans="2:20" x14ac:dyDescent="0.25">
      <c r="B257" s="134" t="s">
        <v>563</v>
      </c>
      <c r="C257" s="135" t="s">
        <v>590</v>
      </c>
      <c r="D257" s="135" t="s">
        <v>55</v>
      </c>
      <c r="E257" s="22" t="s">
        <v>56</v>
      </c>
      <c r="F257" s="23">
        <v>43935</v>
      </c>
      <c r="G257" s="24">
        <v>1.18</v>
      </c>
      <c r="H257" s="23">
        <v>44026</v>
      </c>
      <c r="I257" s="24">
        <v>1.18</v>
      </c>
      <c r="J257" s="23">
        <v>44118</v>
      </c>
      <c r="K257" s="24">
        <v>1.18</v>
      </c>
      <c r="L257" s="23">
        <v>44210</v>
      </c>
      <c r="M257" s="24">
        <v>1.3</v>
      </c>
      <c r="N257" s="25"/>
      <c r="O257" s="24"/>
      <c r="P257" s="24"/>
      <c r="Q257" s="24"/>
      <c r="R257" s="24"/>
      <c r="S257" s="24"/>
      <c r="T257" s="26">
        <f t="shared" si="17"/>
        <v>4.84</v>
      </c>
    </row>
    <row r="258" spans="2:20" x14ac:dyDescent="0.25">
      <c r="B258" s="134" t="s">
        <v>554</v>
      </c>
      <c r="C258" s="135" t="s">
        <v>581</v>
      </c>
      <c r="D258" s="135" t="s">
        <v>55</v>
      </c>
      <c r="E258" s="22" t="s">
        <v>56</v>
      </c>
      <c r="F258" s="23">
        <v>43914</v>
      </c>
      <c r="G258" s="24">
        <v>0.84</v>
      </c>
      <c r="H258" s="23">
        <v>43994</v>
      </c>
      <c r="I258" s="24">
        <v>0.84</v>
      </c>
      <c r="J258" s="23">
        <v>44088</v>
      </c>
      <c r="K258" s="24">
        <v>0.86</v>
      </c>
      <c r="L258" s="23">
        <v>44189</v>
      </c>
      <c r="M258" s="77">
        <v>0.86</v>
      </c>
      <c r="N258" s="25"/>
      <c r="O258" s="24"/>
      <c r="P258" s="24"/>
      <c r="Q258" s="24"/>
      <c r="R258" s="24"/>
      <c r="S258" s="24"/>
      <c r="T258" s="26">
        <f t="shared" si="17"/>
        <v>3.4</v>
      </c>
    </row>
    <row r="259" spans="2:20" x14ac:dyDescent="0.25">
      <c r="B259" s="134" t="s">
        <v>53</v>
      </c>
      <c r="C259" s="137" t="s">
        <v>54</v>
      </c>
      <c r="D259" s="135" t="s">
        <v>55</v>
      </c>
      <c r="E259" s="22" t="s">
        <v>56</v>
      </c>
      <c r="F259" s="23"/>
      <c r="G259" s="24"/>
      <c r="H259" s="23"/>
      <c r="I259" s="24"/>
      <c r="J259" s="23"/>
      <c r="K259" s="24"/>
      <c r="L259" s="23"/>
      <c r="M259" s="77"/>
      <c r="N259" s="25"/>
      <c r="O259" s="24"/>
      <c r="P259" s="24"/>
      <c r="Q259" s="24"/>
      <c r="R259" s="24"/>
      <c r="S259" s="24"/>
      <c r="T259" s="26">
        <f t="shared" si="17"/>
        <v>0</v>
      </c>
    </row>
    <row r="260" spans="2:20" x14ac:dyDescent="0.25">
      <c r="B260" s="134" t="s">
        <v>556</v>
      </c>
      <c r="C260" s="137" t="s">
        <v>583</v>
      </c>
      <c r="D260" s="135" t="s">
        <v>55</v>
      </c>
      <c r="E260" s="22" t="s">
        <v>56</v>
      </c>
      <c r="F260" s="23">
        <v>43874</v>
      </c>
      <c r="G260" s="24">
        <v>1.6</v>
      </c>
      <c r="H260" s="23">
        <v>43966</v>
      </c>
      <c r="I260" s="24">
        <v>1.6</v>
      </c>
      <c r="J260" s="23">
        <v>44057</v>
      </c>
      <c r="K260" s="24">
        <v>1.6</v>
      </c>
      <c r="L260" s="23">
        <v>44148</v>
      </c>
      <c r="M260" s="77">
        <v>1.6</v>
      </c>
      <c r="N260" s="25"/>
      <c r="O260" s="24"/>
      <c r="P260" s="24"/>
      <c r="Q260" s="24"/>
      <c r="R260" s="24"/>
      <c r="S260" s="24"/>
      <c r="T260" s="26">
        <f t="shared" si="17"/>
        <v>6.4</v>
      </c>
    </row>
    <row r="261" spans="2:20" x14ac:dyDescent="0.25">
      <c r="B261" s="134" t="s">
        <v>61</v>
      </c>
      <c r="C261" s="137" t="s">
        <v>62</v>
      </c>
      <c r="D261" s="135" t="s">
        <v>55</v>
      </c>
      <c r="E261" s="22" t="s">
        <v>56</v>
      </c>
      <c r="F261" s="153">
        <v>43868</v>
      </c>
      <c r="G261" s="154">
        <f>0.77/4</f>
        <v>0.1925</v>
      </c>
      <c r="H261" s="153">
        <v>43959</v>
      </c>
      <c r="I261" s="154">
        <f>0.82/4</f>
        <v>0.20499999999999999</v>
      </c>
      <c r="J261" s="153">
        <v>44050</v>
      </c>
      <c r="K261" s="154">
        <f>0.82/4</f>
        <v>0.20499999999999999</v>
      </c>
      <c r="L261" s="23">
        <v>44141</v>
      </c>
      <c r="M261" s="77">
        <v>0.20499999999999999</v>
      </c>
      <c r="N261" s="25"/>
      <c r="O261" s="24"/>
      <c r="P261" s="24"/>
      <c r="Q261" s="24"/>
      <c r="R261" s="24"/>
      <c r="S261" s="24"/>
      <c r="T261" s="26">
        <f t="shared" si="17"/>
        <v>0.80749999999999988</v>
      </c>
    </row>
    <row r="262" spans="2:20" x14ac:dyDescent="0.25">
      <c r="B262" s="134" t="s">
        <v>71</v>
      </c>
      <c r="C262" s="137" t="s">
        <v>72</v>
      </c>
      <c r="D262" s="135" t="s">
        <v>55</v>
      </c>
      <c r="E262" s="22" t="s">
        <v>56</v>
      </c>
      <c r="F262" s="23">
        <v>43929</v>
      </c>
      <c r="G262" s="24">
        <v>0.52</v>
      </c>
      <c r="H262" s="23">
        <v>44021</v>
      </c>
      <c r="I262" s="24">
        <v>0.52</v>
      </c>
      <c r="J262" s="23">
        <v>44112</v>
      </c>
      <c r="K262" s="24">
        <v>0.52</v>
      </c>
      <c r="L262" s="23">
        <v>44204</v>
      </c>
      <c r="M262" s="24">
        <v>0.52</v>
      </c>
      <c r="N262" s="25"/>
      <c r="O262" s="24"/>
      <c r="P262" s="24"/>
      <c r="Q262" s="24"/>
      <c r="R262" s="24"/>
      <c r="S262" s="24"/>
      <c r="T262" s="26">
        <f t="shared" si="17"/>
        <v>2.08</v>
      </c>
    </row>
    <row r="263" spans="2:20" x14ac:dyDescent="0.25">
      <c r="B263" s="134" t="s">
        <v>112</v>
      </c>
      <c r="C263" s="137" t="s">
        <v>113</v>
      </c>
      <c r="D263" s="135" t="s">
        <v>55</v>
      </c>
      <c r="E263" s="22" t="s">
        <v>56</v>
      </c>
      <c r="F263" s="23">
        <v>43895</v>
      </c>
      <c r="G263" s="24">
        <v>0.18</v>
      </c>
      <c r="H263" s="23">
        <v>43986</v>
      </c>
      <c r="I263" s="24">
        <v>0.18</v>
      </c>
      <c r="J263" s="23">
        <v>44077</v>
      </c>
      <c r="K263" s="24">
        <v>0.18</v>
      </c>
      <c r="L263" s="23">
        <v>44168</v>
      </c>
      <c r="M263" s="77">
        <v>0.18</v>
      </c>
      <c r="N263" s="25"/>
      <c r="O263" s="24"/>
      <c r="P263" s="24"/>
      <c r="Q263" s="24"/>
      <c r="R263" s="24"/>
      <c r="S263" s="24"/>
      <c r="T263" s="26">
        <f t="shared" si="17"/>
        <v>0.72</v>
      </c>
    </row>
    <row r="264" spans="2:20" x14ac:dyDescent="0.25">
      <c r="B264" s="134" t="s">
        <v>564</v>
      </c>
      <c r="C264" s="137" t="s">
        <v>591</v>
      </c>
      <c r="D264" s="135" t="s">
        <v>55</v>
      </c>
      <c r="E264" s="22" t="s">
        <v>56</v>
      </c>
      <c r="F264" s="23">
        <v>43874</v>
      </c>
      <c r="G264" s="24">
        <v>2.0550000000000002</v>
      </c>
      <c r="H264" s="23"/>
      <c r="I264" s="24"/>
      <c r="J264" s="23"/>
      <c r="K264" s="24"/>
      <c r="L264" s="23"/>
      <c r="M264" s="77"/>
      <c r="N264" s="25"/>
      <c r="O264" s="24"/>
      <c r="P264" s="24"/>
      <c r="Q264" s="24"/>
      <c r="R264" s="24"/>
      <c r="S264" s="24"/>
      <c r="T264" s="26">
        <f t="shared" si="17"/>
        <v>2.0550000000000002</v>
      </c>
    </row>
    <row r="265" spans="2:20" x14ac:dyDescent="0.25">
      <c r="B265" s="134" t="s">
        <v>566</v>
      </c>
      <c r="C265" s="137" t="s">
        <v>593</v>
      </c>
      <c r="D265" s="135" t="s">
        <v>55</v>
      </c>
      <c r="E265" s="22" t="s">
        <v>56</v>
      </c>
      <c r="F265" s="23">
        <v>43923</v>
      </c>
      <c r="G265" s="24">
        <v>0.45</v>
      </c>
      <c r="H265" s="23">
        <v>44014</v>
      </c>
      <c r="I265" s="24">
        <v>0.45</v>
      </c>
      <c r="J265" s="23">
        <v>44105</v>
      </c>
      <c r="K265" s="24">
        <v>0.45</v>
      </c>
      <c r="L265" s="23">
        <v>44196</v>
      </c>
      <c r="M265" s="77">
        <v>0.49</v>
      </c>
      <c r="N265" s="25"/>
      <c r="O265" s="24"/>
      <c r="P265" s="24"/>
      <c r="Q265" s="24"/>
      <c r="R265" s="24"/>
      <c r="S265" s="24"/>
      <c r="T265" s="26">
        <f t="shared" si="17"/>
        <v>1.84</v>
      </c>
    </row>
    <row r="266" spans="2:20" x14ac:dyDescent="0.25">
      <c r="B266" s="134" t="s">
        <v>568</v>
      </c>
      <c r="C266" s="137" t="s">
        <v>595</v>
      </c>
      <c r="D266" s="135" t="s">
        <v>55</v>
      </c>
      <c r="E266" s="22" t="s">
        <v>56</v>
      </c>
      <c r="F266" s="23">
        <v>43910</v>
      </c>
      <c r="G266" s="24">
        <v>3.25</v>
      </c>
      <c r="H266" s="23">
        <v>44001</v>
      </c>
      <c r="I266" s="24">
        <v>3.25</v>
      </c>
      <c r="J266" s="23">
        <v>44095</v>
      </c>
      <c r="K266" s="24">
        <v>3.25</v>
      </c>
      <c r="L266" s="23">
        <v>44183</v>
      </c>
      <c r="M266" s="24">
        <v>3.6</v>
      </c>
      <c r="N266" s="25"/>
      <c r="O266" s="24"/>
      <c r="P266" s="24"/>
      <c r="Q266" s="24"/>
      <c r="R266" s="24"/>
      <c r="S266" s="24"/>
      <c r="T266" s="26">
        <f t="shared" si="17"/>
        <v>13.35</v>
      </c>
    </row>
    <row r="267" spans="2:20" x14ac:dyDescent="0.25">
      <c r="B267" s="134" t="s">
        <v>141</v>
      </c>
      <c r="C267" s="137" t="s">
        <v>142</v>
      </c>
      <c r="D267" s="135" t="s">
        <v>55</v>
      </c>
      <c r="E267" s="22" t="s">
        <v>56</v>
      </c>
      <c r="F267" s="23">
        <v>43859</v>
      </c>
      <c r="G267" s="24">
        <v>1.29</v>
      </c>
      <c r="H267" s="23">
        <v>43950</v>
      </c>
      <c r="I267" s="24">
        <v>1.29</v>
      </c>
      <c r="J267" s="23">
        <v>44041</v>
      </c>
      <c r="K267" s="24">
        <v>1.29</v>
      </c>
      <c r="L267" s="23">
        <v>44132</v>
      </c>
      <c r="M267" s="77">
        <v>1.29</v>
      </c>
      <c r="N267" s="25"/>
      <c r="O267" s="24"/>
      <c r="P267" s="24"/>
      <c r="Q267" s="24"/>
      <c r="R267" s="24"/>
      <c r="S267" s="24"/>
      <c r="T267" s="26">
        <f t="shared" si="17"/>
        <v>5.16</v>
      </c>
    </row>
    <row r="268" spans="2:20" x14ac:dyDescent="0.25">
      <c r="B268" s="134" t="s">
        <v>143</v>
      </c>
      <c r="C268" s="137" t="s">
        <v>144</v>
      </c>
      <c r="D268" s="135" t="s">
        <v>55</v>
      </c>
      <c r="E268" s="22" t="s">
        <v>56</v>
      </c>
      <c r="F268" s="23">
        <v>43923</v>
      </c>
      <c r="G268" s="24">
        <v>0.36</v>
      </c>
      <c r="H268" s="23">
        <v>44014</v>
      </c>
      <c r="I268" s="24">
        <v>0.36</v>
      </c>
      <c r="J268" s="23">
        <v>44105</v>
      </c>
      <c r="K268" s="24">
        <v>0.36</v>
      </c>
      <c r="L268" s="23">
        <v>43834</v>
      </c>
      <c r="M268" s="77">
        <v>0.36</v>
      </c>
      <c r="N268" s="25"/>
      <c r="O268" s="24"/>
      <c r="P268" s="24"/>
      <c r="Q268" s="24"/>
      <c r="R268" s="24"/>
      <c r="S268" s="24"/>
      <c r="T268" s="26">
        <f t="shared" si="17"/>
        <v>1.44</v>
      </c>
    </row>
    <row r="269" spans="2:20" x14ac:dyDescent="0.25">
      <c r="B269" s="134" t="s">
        <v>145</v>
      </c>
      <c r="C269" s="137" t="s">
        <v>146</v>
      </c>
      <c r="D269" s="135" t="s">
        <v>55</v>
      </c>
      <c r="E269" s="22" t="s">
        <v>56</v>
      </c>
      <c r="F269" s="23">
        <v>43861</v>
      </c>
      <c r="G269" s="24">
        <v>0.51</v>
      </c>
      <c r="H269" s="23">
        <v>43952</v>
      </c>
      <c r="I269" s="24">
        <v>0.51</v>
      </c>
      <c r="J269" s="23">
        <v>44043</v>
      </c>
      <c r="K269" s="24">
        <v>0.51</v>
      </c>
      <c r="L269" s="23">
        <v>44134</v>
      </c>
      <c r="M269" s="77">
        <v>0.51</v>
      </c>
      <c r="N269" s="25"/>
      <c r="O269" s="24"/>
      <c r="P269" s="24"/>
      <c r="Q269" s="24"/>
      <c r="R269" s="24"/>
      <c r="S269" s="24"/>
      <c r="T269" s="26">
        <f t="shared" si="17"/>
        <v>2.04</v>
      </c>
    </row>
    <row r="270" spans="2:20" x14ac:dyDescent="0.25">
      <c r="B270" s="134" t="s">
        <v>147</v>
      </c>
      <c r="C270" s="137" t="s">
        <v>148</v>
      </c>
      <c r="D270" s="135" t="s">
        <v>55</v>
      </c>
      <c r="E270" s="22" t="s">
        <v>56</v>
      </c>
      <c r="F270" s="153">
        <v>43899</v>
      </c>
      <c r="G270" s="154">
        <f>0.85*0.9861373</f>
        <v>0.83821670500000001</v>
      </c>
      <c r="H270" s="153">
        <v>43991</v>
      </c>
      <c r="I270" s="154">
        <f>0.85*0.9861373</f>
        <v>0.83821670500000001</v>
      </c>
      <c r="J270" s="153">
        <v>44083</v>
      </c>
      <c r="K270" s="154">
        <f>0.85*0.9861373</f>
        <v>0.83821670500000001</v>
      </c>
      <c r="L270" s="153">
        <v>44174</v>
      </c>
      <c r="M270" s="154">
        <f>0.85*0.9861373</f>
        <v>0.83821670500000001</v>
      </c>
      <c r="N270" s="25"/>
      <c r="O270" s="24"/>
      <c r="P270" s="24"/>
      <c r="Q270" s="24"/>
      <c r="R270" s="24"/>
      <c r="S270" s="24"/>
      <c r="T270" s="26">
        <f t="shared" si="17"/>
        <v>3.35286682</v>
      </c>
    </row>
    <row r="271" spans="2:20" x14ac:dyDescent="0.25">
      <c r="B271" s="134" t="s">
        <v>149</v>
      </c>
      <c r="C271" s="137" t="s">
        <v>150</v>
      </c>
      <c r="D271" s="135" t="s">
        <v>55</v>
      </c>
      <c r="E271" s="22" t="s">
        <v>56</v>
      </c>
      <c r="F271" s="23">
        <v>43903</v>
      </c>
      <c r="G271" s="24">
        <v>0.41</v>
      </c>
      <c r="H271" s="23">
        <v>43994</v>
      </c>
      <c r="I271" s="24">
        <v>0.41</v>
      </c>
      <c r="J271" s="23">
        <v>44088</v>
      </c>
      <c r="K271" s="24">
        <v>0.41</v>
      </c>
      <c r="L271" s="23">
        <v>44165</v>
      </c>
      <c r="M271" s="77">
        <v>0.41</v>
      </c>
      <c r="N271" s="25"/>
      <c r="O271" s="24"/>
      <c r="P271" s="24"/>
      <c r="Q271" s="24"/>
      <c r="R271" s="24"/>
      <c r="S271" s="24"/>
      <c r="T271" s="26">
        <f t="shared" si="17"/>
        <v>1.64</v>
      </c>
    </row>
    <row r="272" spans="2:20" x14ac:dyDescent="0.25">
      <c r="B272" s="134" t="s">
        <v>550</v>
      </c>
      <c r="C272" s="137" t="s">
        <v>155</v>
      </c>
      <c r="D272" s="135" t="s">
        <v>55</v>
      </c>
      <c r="E272" s="22" t="s">
        <v>56</v>
      </c>
      <c r="F272" s="23">
        <v>43921</v>
      </c>
      <c r="G272" s="24">
        <v>0.23</v>
      </c>
      <c r="H272" s="23">
        <v>44012</v>
      </c>
      <c r="I272" s="24">
        <v>0.23</v>
      </c>
      <c r="J272" s="23">
        <v>44110</v>
      </c>
      <c r="K272" s="24">
        <v>0.23</v>
      </c>
      <c r="L272" s="23">
        <v>44201</v>
      </c>
      <c r="M272" s="24">
        <v>0.23</v>
      </c>
      <c r="N272" s="25"/>
      <c r="O272" s="24"/>
      <c r="P272" s="24"/>
      <c r="Q272" s="24"/>
      <c r="R272" s="24"/>
      <c r="S272" s="24"/>
      <c r="T272" s="26">
        <f t="shared" si="17"/>
        <v>0.92</v>
      </c>
    </row>
    <row r="273" spans="1:21" x14ac:dyDescent="0.25">
      <c r="A273" s="33"/>
      <c r="B273" s="134" t="s">
        <v>160</v>
      </c>
      <c r="C273" s="137" t="s">
        <v>161</v>
      </c>
      <c r="D273" s="135" t="s">
        <v>55</v>
      </c>
      <c r="E273" s="22" t="s">
        <v>56</v>
      </c>
      <c r="F273" s="23">
        <v>43874</v>
      </c>
      <c r="G273" s="24">
        <v>0.42</v>
      </c>
      <c r="H273" s="23">
        <v>43959</v>
      </c>
      <c r="I273" s="24">
        <v>0.42</v>
      </c>
      <c r="J273" s="23">
        <v>44029</v>
      </c>
      <c r="K273" s="24">
        <v>0.42</v>
      </c>
      <c r="L273" s="23">
        <v>44120</v>
      </c>
      <c r="M273" s="77">
        <v>0.43</v>
      </c>
      <c r="N273" s="25"/>
      <c r="O273" s="24"/>
      <c r="P273" s="24"/>
      <c r="Q273" s="24"/>
      <c r="R273" s="24"/>
      <c r="S273" s="24"/>
      <c r="T273" s="26">
        <f t="shared" si="17"/>
        <v>1.69</v>
      </c>
      <c r="U273" s="36"/>
    </row>
    <row r="274" spans="1:21" x14ac:dyDescent="0.25">
      <c r="B274" s="134" t="s">
        <v>577</v>
      </c>
      <c r="C274" s="137" t="s">
        <v>604</v>
      </c>
      <c r="D274" s="135" t="s">
        <v>55</v>
      </c>
      <c r="E274" s="22" t="s">
        <v>56</v>
      </c>
      <c r="F274" s="23">
        <v>43852</v>
      </c>
      <c r="G274" s="24">
        <v>0.5</v>
      </c>
      <c r="H274" s="23">
        <v>43943</v>
      </c>
      <c r="I274" s="24">
        <v>0.5</v>
      </c>
      <c r="J274" s="23">
        <v>44034</v>
      </c>
      <c r="K274" s="24">
        <v>0.5</v>
      </c>
      <c r="L274" s="23">
        <v>44125</v>
      </c>
      <c r="M274" s="77">
        <v>0.5</v>
      </c>
      <c r="N274" s="25"/>
      <c r="O274" s="24"/>
      <c r="P274" s="24"/>
      <c r="Q274" s="24"/>
      <c r="R274" s="24"/>
      <c r="S274" s="24"/>
      <c r="T274" s="26">
        <f t="shared" si="17"/>
        <v>2</v>
      </c>
    </row>
    <row r="275" spans="1:21" x14ac:dyDescent="0.25">
      <c r="B275" s="134" t="s">
        <v>192</v>
      </c>
      <c r="C275" s="137" t="s">
        <v>193</v>
      </c>
      <c r="D275" s="135" t="s">
        <v>55</v>
      </c>
      <c r="E275" s="22" t="s">
        <v>56</v>
      </c>
      <c r="F275" s="23">
        <v>43874</v>
      </c>
      <c r="G275" s="24">
        <v>0.94499999999999995</v>
      </c>
      <c r="H275" s="23">
        <v>43965</v>
      </c>
      <c r="I275" s="24">
        <v>0.94499999999999995</v>
      </c>
      <c r="J275" s="23">
        <v>44056</v>
      </c>
      <c r="K275" s="24">
        <v>0.96499999999999997</v>
      </c>
      <c r="L275" s="23">
        <v>44147</v>
      </c>
      <c r="M275" s="77">
        <v>0.96499999999999997</v>
      </c>
      <c r="N275" s="25"/>
      <c r="O275" s="24"/>
      <c r="P275" s="24"/>
      <c r="Q275" s="24"/>
      <c r="R275" s="24"/>
      <c r="S275" s="24"/>
      <c r="T275" s="26">
        <f t="shared" si="17"/>
        <v>3.82</v>
      </c>
    </row>
    <row r="276" spans="1:21" x14ac:dyDescent="0.25">
      <c r="B276" s="134" t="s">
        <v>575</v>
      </c>
      <c r="C276" s="137" t="s">
        <v>602</v>
      </c>
      <c r="D276" s="135" t="s">
        <v>55</v>
      </c>
      <c r="E276" s="22" t="s">
        <v>56</v>
      </c>
      <c r="F276" s="23">
        <v>43874</v>
      </c>
      <c r="G276" s="24">
        <v>0.74</v>
      </c>
      <c r="H276" s="23">
        <v>43965</v>
      </c>
      <c r="I276" s="24">
        <v>0.74</v>
      </c>
      <c r="J276" s="23">
        <v>44056</v>
      </c>
      <c r="K276" s="24">
        <v>0.74</v>
      </c>
      <c r="L276" s="23">
        <v>44147</v>
      </c>
      <c r="M276" s="77">
        <v>0.74</v>
      </c>
      <c r="N276" s="25"/>
      <c r="O276" s="24"/>
      <c r="P276" s="24"/>
      <c r="Q276" s="24"/>
      <c r="R276" s="24"/>
      <c r="S276" s="24"/>
      <c r="T276" s="26">
        <f t="shared" si="17"/>
        <v>2.96</v>
      </c>
    </row>
    <row r="277" spans="1:21" x14ac:dyDescent="0.25">
      <c r="A277" s="33"/>
      <c r="B277" s="134" t="s">
        <v>223</v>
      </c>
      <c r="C277" s="137" t="s">
        <v>224</v>
      </c>
      <c r="D277" s="135" t="s">
        <v>55</v>
      </c>
      <c r="E277" s="22" t="s">
        <v>56</v>
      </c>
      <c r="F277" s="23">
        <v>43871</v>
      </c>
      <c r="G277" s="24">
        <v>0.87</v>
      </c>
      <c r="H277" s="23">
        <v>43963</v>
      </c>
      <c r="I277" s="24">
        <v>0.87</v>
      </c>
      <c r="J277" s="23">
        <v>44055</v>
      </c>
      <c r="K277" s="24">
        <v>0.87</v>
      </c>
      <c r="L277" s="23">
        <v>44145</v>
      </c>
      <c r="M277" s="77">
        <v>0.87</v>
      </c>
      <c r="N277" s="25"/>
      <c r="O277" s="24"/>
      <c r="P277" s="24"/>
      <c r="Q277" s="24"/>
      <c r="R277" s="24"/>
      <c r="S277" s="24"/>
      <c r="T277" s="26">
        <f t="shared" si="17"/>
        <v>3.48</v>
      </c>
      <c r="U277" s="36"/>
    </row>
    <row r="278" spans="1:21" x14ac:dyDescent="0.25">
      <c r="A278" s="33"/>
      <c r="B278" s="134" t="s">
        <v>227</v>
      </c>
      <c r="C278" s="137" t="s">
        <v>228</v>
      </c>
      <c r="D278" s="135" t="s">
        <v>55</v>
      </c>
      <c r="E278" s="22" t="s">
        <v>56</v>
      </c>
      <c r="F278" s="23">
        <v>43859</v>
      </c>
      <c r="G278" s="24">
        <v>0.15</v>
      </c>
      <c r="H278" s="23"/>
      <c r="I278" s="24"/>
      <c r="J278" s="23"/>
      <c r="K278" s="24"/>
      <c r="L278" s="23"/>
      <c r="M278" s="77"/>
      <c r="N278" s="25"/>
      <c r="O278" s="24"/>
      <c r="P278" s="24"/>
      <c r="Q278" s="24"/>
      <c r="R278" s="24"/>
      <c r="S278" s="24"/>
      <c r="T278" s="26">
        <f t="shared" si="17"/>
        <v>0.15</v>
      </c>
      <c r="U278" s="36"/>
    </row>
    <row r="279" spans="1:21" x14ac:dyDescent="0.25">
      <c r="B279" s="134" t="s">
        <v>240</v>
      </c>
      <c r="C279" s="137" t="s">
        <v>241</v>
      </c>
      <c r="D279" s="135" t="s">
        <v>55</v>
      </c>
      <c r="E279" s="22" t="s">
        <v>56</v>
      </c>
      <c r="F279" s="23">
        <v>43896</v>
      </c>
      <c r="G279" s="24">
        <v>0.01</v>
      </c>
      <c r="H279" s="23">
        <v>44008</v>
      </c>
      <c r="I279" s="24">
        <v>0.01</v>
      </c>
      <c r="J279" s="23">
        <v>44099</v>
      </c>
      <c r="K279" s="24">
        <v>0.01</v>
      </c>
      <c r="L279" s="23">
        <v>44183</v>
      </c>
      <c r="M279" s="77">
        <v>0.01</v>
      </c>
      <c r="N279" s="25"/>
      <c r="O279" s="24"/>
      <c r="P279" s="24"/>
      <c r="Q279" s="24"/>
      <c r="R279" s="24"/>
      <c r="S279" s="24"/>
      <c r="T279" s="26">
        <f t="shared" si="17"/>
        <v>0.04</v>
      </c>
    </row>
    <row r="280" spans="1:21" x14ac:dyDescent="0.25">
      <c r="B280" s="134" t="s">
        <v>246</v>
      </c>
      <c r="C280" s="137" t="s">
        <v>247</v>
      </c>
      <c r="D280" s="135" t="s">
        <v>55</v>
      </c>
      <c r="E280" s="22" t="s">
        <v>56</v>
      </c>
      <c r="F280" s="23">
        <v>43895</v>
      </c>
      <c r="G280" s="24">
        <v>0.38</v>
      </c>
      <c r="H280" s="23"/>
      <c r="I280" s="24"/>
      <c r="J280" s="23"/>
      <c r="K280" s="24"/>
      <c r="L280" s="23"/>
      <c r="M280" s="77"/>
      <c r="N280" s="25"/>
      <c r="O280" s="24"/>
      <c r="P280" s="24"/>
      <c r="Q280" s="24"/>
      <c r="R280" s="24"/>
      <c r="S280" s="24"/>
      <c r="T280" s="26">
        <f t="shared" si="17"/>
        <v>0.38</v>
      </c>
    </row>
    <row r="281" spans="1:21" x14ac:dyDescent="0.25">
      <c r="B281" s="134" t="s">
        <v>567</v>
      </c>
      <c r="C281" s="137" t="s">
        <v>594</v>
      </c>
      <c r="D281" s="135" t="s">
        <v>55</v>
      </c>
      <c r="E281" s="22" t="s">
        <v>56</v>
      </c>
      <c r="F281" s="23">
        <v>43902</v>
      </c>
      <c r="G281" s="24">
        <v>0.68</v>
      </c>
      <c r="H281" s="23">
        <v>43993</v>
      </c>
      <c r="I281" s="24">
        <v>0.68</v>
      </c>
      <c r="J281" s="23">
        <v>44088</v>
      </c>
      <c r="K281" s="24">
        <v>0.68</v>
      </c>
      <c r="L281" s="23">
        <v>44179</v>
      </c>
      <c r="M281" s="77">
        <v>0.68</v>
      </c>
      <c r="N281" s="25"/>
      <c r="O281" s="24"/>
      <c r="P281" s="24"/>
      <c r="Q281" s="24"/>
      <c r="R281" s="24"/>
      <c r="S281" s="24"/>
      <c r="T281" s="26">
        <f t="shared" si="17"/>
        <v>2.72</v>
      </c>
    </row>
    <row r="282" spans="1:21" x14ac:dyDescent="0.25">
      <c r="B282" s="134" t="s">
        <v>570</v>
      </c>
      <c r="C282" s="137" t="s">
        <v>597</v>
      </c>
      <c r="D282" s="135" t="s">
        <v>55</v>
      </c>
      <c r="E282" s="22" t="s">
        <v>56</v>
      </c>
      <c r="F282" s="23">
        <v>43889</v>
      </c>
      <c r="G282" s="24">
        <v>1.25</v>
      </c>
      <c r="H282" s="23">
        <v>43980</v>
      </c>
      <c r="I282" s="24">
        <v>1.25</v>
      </c>
      <c r="J282" s="23">
        <v>44074</v>
      </c>
      <c r="K282" s="24">
        <v>1.25</v>
      </c>
      <c r="L282" s="23">
        <v>44166</v>
      </c>
      <c r="M282" s="77">
        <v>1.25</v>
      </c>
      <c r="N282" s="25"/>
      <c r="O282" s="24"/>
      <c r="P282" s="24"/>
      <c r="Q282" s="24"/>
      <c r="R282" s="24"/>
      <c r="S282" s="24"/>
      <c r="T282" s="26">
        <f t="shared" si="17"/>
        <v>5</v>
      </c>
    </row>
    <row r="283" spans="1:21" x14ac:dyDescent="0.25">
      <c r="B283" s="134" t="s">
        <v>262</v>
      </c>
      <c r="C283" s="137" t="s">
        <v>263</v>
      </c>
      <c r="D283" s="135" t="s">
        <v>55</v>
      </c>
      <c r="E283" s="22" t="s">
        <v>56</v>
      </c>
      <c r="F283" s="23">
        <v>43901</v>
      </c>
      <c r="G283" s="24">
        <v>1.5</v>
      </c>
      <c r="H283" s="23">
        <v>43985</v>
      </c>
      <c r="I283" s="24">
        <v>1.5</v>
      </c>
      <c r="J283" s="23">
        <v>44076</v>
      </c>
      <c r="K283" s="24">
        <v>1.5</v>
      </c>
      <c r="L283" s="23">
        <v>44167</v>
      </c>
      <c r="M283" s="77">
        <v>1.5</v>
      </c>
      <c r="N283" s="25"/>
      <c r="O283" s="24"/>
      <c r="P283" s="24"/>
      <c r="Q283" s="24"/>
      <c r="R283" s="24"/>
      <c r="S283" s="24"/>
      <c r="T283" s="26">
        <f t="shared" si="17"/>
        <v>6</v>
      </c>
    </row>
    <row r="284" spans="1:21" x14ac:dyDescent="0.25">
      <c r="B284" s="134" t="s">
        <v>683</v>
      </c>
      <c r="C284" s="137" t="s">
        <v>592</v>
      </c>
      <c r="D284" s="135" t="s">
        <v>55</v>
      </c>
      <c r="E284" s="22" t="s">
        <v>56</v>
      </c>
      <c r="F284" s="23">
        <v>43888</v>
      </c>
      <c r="G284" s="24">
        <v>0.9</v>
      </c>
      <c r="H284" s="23">
        <v>43965</v>
      </c>
      <c r="I284" s="24">
        <v>0.9</v>
      </c>
      <c r="J284" s="23">
        <v>44056</v>
      </c>
      <c r="K284" s="24">
        <v>0.9</v>
      </c>
      <c r="L284" s="23">
        <v>44147</v>
      </c>
      <c r="M284" s="24">
        <v>0.93</v>
      </c>
      <c r="N284" s="25"/>
      <c r="O284" s="24"/>
      <c r="P284" s="24"/>
      <c r="Q284" s="24"/>
      <c r="R284" s="24"/>
      <c r="S284" s="24"/>
      <c r="T284" s="26">
        <f t="shared" si="17"/>
        <v>3.6300000000000003</v>
      </c>
    </row>
    <row r="285" spans="1:21" x14ac:dyDescent="0.25">
      <c r="B285" s="134" t="s">
        <v>553</v>
      </c>
      <c r="C285" s="137" t="s">
        <v>580</v>
      </c>
      <c r="D285" s="135" t="s">
        <v>55</v>
      </c>
      <c r="E285" s="22" t="s">
        <v>56</v>
      </c>
      <c r="F285" s="23">
        <v>43868</v>
      </c>
      <c r="G285" s="24">
        <v>1.62</v>
      </c>
      <c r="H285" s="23">
        <v>43958</v>
      </c>
      <c r="I285" s="24">
        <v>1.63</v>
      </c>
      <c r="J285" s="23">
        <v>44050</v>
      </c>
      <c r="K285" s="24">
        <v>1.63</v>
      </c>
      <c r="L285" s="23">
        <v>44144</v>
      </c>
      <c r="M285" s="77">
        <v>1.63</v>
      </c>
      <c r="N285" s="25"/>
      <c r="O285" s="24"/>
      <c r="P285" s="24"/>
      <c r="Q285" s="24"/>
      <c r="R285" s="24"/>
      <c r="S285" s="24"/>
      <c r="T285" s="26">
        <f t="shared" si="17"/>
        <v>6.51</v>
      </c>
    </row>
    <row r="286" spans="1:21" x14ac:dyDescent="0.25">
      <c r="B286" s="134" t="s">
        <v>612</v>
      </c>
      <c r="C286" s="137" t="s">
        <v>275</v>
      </c>
      <c r="D286" s="135" t="s">
        <v>55</v>
      </c>
      <c r="E286" s="22" t="s">
        <v>56</v>
      </c>
      <c r="F286" s="23">
        <v>43867</v>
      </c>
      <c r="G286" s="24">
        <v>0.33</v>
      </c>
      <c r="H286" s="23">
        <v>43957</v>
      </c>
      <c r="I286" s="24">
        <v>0.33</v>
      </c>
      <c r="J286" s="23">
        <v>44049</v>
      </c>
      <c r="K286" s="24">
        <v>0.33</v>
      </c>
      <c r="L286" s="23">
        <v>44140</v>
      </c>
      <c r="M286" s="77">
        <v>0.33</v>
      </c>
      <c r="N286" s="25"/>
      <c r="O286" s="24"/>
      <c r="P286" s="24"/>
      <c r="Q286" s="24"/>
      <c r="R286" s="24"/>
      <c r="S286" s="24"/>
      <c r="T286" s="26">
        <f t="shared" si="17"/>
        <v>1.32</v>
      </c>
    </row>
    <row r="287" spans="1:21" x14ac:dyDescent="0.25">
      <c r="A287" s="33"/>
      <c r="B287" s="134" t="s">
        <v>280</v>
      </c>
      <c r="C287" s="137" t="s">
        <v>281</v>
      </c>
      <c r="D287" s="135" t="s">
        <v>55</v>
      </c>
      <c r="E287" s="22" t="s">
        <v>56</v>
      </c>
      <c r="F287" s="23">
        <v>43885</v>
      </c>
      <c r="G287" s="24">
        <v>0.95</v>
      </c>
      <c r="H287" s="23">
        <v>43973</v>
      </c>
      <c r="I287" s="24">
        <v>1.01</v>
      </c>
      <c r="J287" s="23">
        <v>44067</v>
      </c>
      <c r="K287" s="24">
        <v>1.01</v>
      </c>
      <c r="L287" s="23">
        <v>43853</v>
      </c>
      <c r="M287" s="77">
        <v>1.01</v>
      </c>
      <c r="N287" s="25"/>
      <c r="O287" s="24"/>
      <c r="P287" s="24"/>
      <c r="Q287" s="24"/>
      <c r="R287" s="24"/>
      <c r="S287" s="24"/>
      <c r="T287" s="26">
        <f t="shared" si="17"/>
        <v>3.9799999999999995</v>
      </c>
      <c r="U287" s="36"/>
    </row>
    <row r="288" spans="1:21" x14ac:dyDescent="0.25">
      <c r="B288" s="134" t="s">
        <v>282</v>
      </c>
      <c r="C288" s="137" t="s">
        <v>283</v>
      </c>
      <c r="D288" s="135" t="s">
        <v>55</v>
      </c>
      <c r="E288" s="22" t="s">
        <v>56</v>
      </c>
      <c r="F288" s="23">
        <v>43924</v>
      </c>
      <c r="G288" s="24">
        <v>0.9</v>
      </c>
      <c r="H288" s="23">
        <v>44014</v>
      </c>
      <c r="I288" s="24">
        <v>0.9</v>
      </c>
      <c r="J288" s="23">
        <v>44109</v>
      </c>
      <c r="K288" s="24">
        <v>0.9</v>
      </c>
      <c r="L288" s="23">
        <v>44201</v>
      </c>
      <c r="M288" s="77">
        <v>0.9</v>
      </c>
      <c r="N288" s="25"/>
      <c r="O288" s="24"/>
      <c r="P288" s="24"/>
      <c r="Q288" s="24"/>
      <c r="R288" s="24"/>
      <c r="S288" s="24"/>
      <c r="T288" s="26">
        <f t="shared" ref="T288:T312" si="18">G288+I288+K288+M288+O288</f>
        <v>3.6</v>
      </c>
    </row>
    <row r="289" spans="2:20" x14ac:dyDescent="0.25">
      <c r="B289" s="134" t="s">
        <v>562</v>
      </c>
      <c r="C289" s="137" t="s">
        <v>589</v>
      </c>
      <c r="D289" s="135" t="s">
        <v>55</v>
      </c>
      <c r="E289" s="22" t="s">
        <v>56</v>
      </c>
      <c r="F289" s="23">
        <v>43929</v>
      </c>
      <c r="G289" s="24">
        <v>0.4</v>
      </c>
      <c r="H289" s="23">
        <v>44020</v>
      </c>
      <c r="I289" s="24">
        <v>0.4</v>
      </c>
      <c r="J289" s="23">
        <v>44112</v>
      </c>
      <c r="K289" s="24">
        <v>0.4</v>
      </c>
      <c r="L289" s="23">
        <v>44203</v>
      </c>
      <c r="M289" s="77">
        <v>0.44</v>
      </c>
      <c r="N289" s="25"/>
      <c r="O289" s="24"/>
      <c r="P289" s="24"/>
      <c r="Q289" s="24"/>
      <c r="R289" s="24"/>
      <c r="S289" s="24"/>
      <c r="T289" s="26">
        <f t="shared" si="18"/>
        <v>1.6400000000000001</v>
      </c>
    </row>
    <row r="290" spans="2:20" x14ac:dyDescent="0.25">
      <c r="B290" s="134" t="s">
        <v>561</v>
      </c>
      <c r="C290" s="137" t="s">
        <v>588</v>
      </c>
      <c r="D290" s="135" t="s">
        <v>55</v>
      </c>
      <c r="E290" s="22" t="s">
        <v>56</v>
      </c>
      <c r="F290" s="23">
        <v>43889</v>
      </c>
      <c r="G290" s="24">
        <v>1.25</v>
      </c>
      <c r="H290" s="23">
        <v>43980</v>
      </c>
      <c r="I290" s="24">
        <v>1.25</v>
      </c>
      <c r="J290" s="23">
        <v>44074</v>
      </c>
      <c r="K290" s="24">
        <v>1.25</v>
      </c>
      <c r="L290" s="23">
        <v>44165</v>
      </c>
      <c r="M290" s="77">
        <v>1.29</v>
      </c>
      <c r="N290" s="25"/>
      <c r="O290" s="24"/>
      <c r="P290" s="24"/>
      <c r="Q290" s="24"/>
      <c r="R290" s="24"/>
      <c r="S290" s="24"/>
      <c r="T290" s="26">
        <f t="shared" si="18"/>
        <v>5.04</v>
      </c>
    </row>
    <row r="291" spans="2:20" x14ac:dyDescent="0.25">
      <c r="B291" s="134" t="s">
        <v>558</v>
      </c>
      <c r="C291" s="137" t="s">
        <v>585</v>
      </c>
      <c r="D291" s="135" t="s">
        <v>55</v>
      </c>
      <c r="E291" s="22" t="s">
        <v>56</v>
      </c>
      <c r="F291" s="23">
        <v>43916</v>
      </c>
      <c r="G291" s="24">
        <v>0.54</v>
      </c>
      <c r="H291" s="23">
        <v>44007</v>
      </c>
      <c r="I291" s="24">
        <v>0.57999999999999996</v>
      </c>
      <c r="J291" s="23">
        <v>44098</v>
      </c>
      <c r="K291" s="24">
        <v>0.57999999999999996</v>
      </c>
      <c r="L291" s="23">
        <v>44186</v>
      </c>
      <c r="M291" s="77">
        <v>0.57999999999999996</v>
      </c>
      <c r="N291" s="25"/>
      <c r="O291" s="24"/>
      <c r="P291" s="24"/>
      <c r="Q291" s="24"/>
      <c r="R291" s="24"/>
      <c r="S291" s="24"/>
      <c r="T291" s="26">
        <f t="shared" si="18"/>
        <v>2.2800000000000002</v>
      </c>
    </row>
    <row r="292" spans="2:20" x14ac:dyDescent="0.25">
      <c r="B292" s="134" t="s">
        <v>324</v>
      </c>
      <c r="C292" s="137" t="s">
        <v>325</v>
      </c>
      <c r="D292" s="135" t="s">
        <v>55</v>
      </c>
      <c r="E292" s="22" t="s">
        <v>56</v>
      </c>
      <c r="F292" s="23">
        <v>43903</v>
      </c>
      <c r="G292" s="24">
        <v>0.61</v>
      </c>
      <c r="H292" s="23">
        <v>43994</v>
      </c>
      <c r="I292" s="24">
        <v>0.61</v>
      </c>
      <c r="J292" s="23">
        <v>44088</v>
      </c>
      <c r="K292" s="24">
        <v>0.61</v>
      </c>
      <c r="L292" s="23">
        <v>44179</v>
      </c>
      <c r="M292" s="77">
        <v>0.65</v>
      </c>
      <c r="N292" s="25"/>
      <c r="O292" s="24"/>
      <c r="P292" s="24"/>
      <c r="Q292" s="24"/>
      <c r="R292" s="24"/>
      <c r="S292" s="24"/>
      <c r="T292" s="26">
        <f t="shared" si="18"/>
        <v>2.48</v>
      </c>
    </row>
    <row r="293" spans="2:20" x14ac:dyDescent="0.25">
      <c r="B293" s="134" t="s">
        <v>331</v>
      </c>
      <c r="C293" s="137" t="s">
        <v>332</v>
      </c>
      <c r="D293" s="135" t="s">
        <v>55</v>
      </c>
      <c r="E293" s="22" t="s">
        <v>56</v>
      </c>
      <c r="F293" s="23">
        <v>43880</v>
      </c>
      <c r="G293" s="24">
        <v>0.51</v>
      </c>
      <c r="H293" s="23">
        <v>43971</v>
      </c>
      <c r="I293" s="24">
        <v>0.51</v>
      </c>
      <c r="J293" s="23">
        <v>44062</v>
      </c>
      <c r="K293" s="24">
        <v>0.51</v>
      </c>
      <c r="L293" s="23">
        <v>44153</v>
      </c>
      <c r="M293" s="77">
        <v>0.56000000000000005</v>
      </c>
      <c r="N293" s="25"/>
      <c r="O293" s="24"/>
      <c r="P293" s="24"/>
      <c r="Q293" s="24"/>
      <c r="R293" s="24"/>
      <c r="S293" s="24"/>
      <c r="T293" s="26">
        <f t="shared" si="18"/>
        <v>2.09</v>
      </c>
    </row>
    <row r="294" spans="2:20" x14ac:dyDescent="0.25">
      <c r="B294" s="134" t="s">
        <v>555</v>
      </c>
      <c r="C294" s="137" t="s">
        <v>582</v>
      </c>
      <c r="D294" s="138" t="s">
        <v>55</v>
      </c>
      <c r="E294" s="68" t="s">
        <v>56</v>
      </c>
      <c r="F294" s="23">
        <v>43929</v>
      </c>
      <c r="G294" s="24">
        <v>0.24</v>
      </c>
      <c r="H294" s="23">
        <v>44026</v>
      </c>
      <c r="I294" s="24">
        <v>0.24</v>
      </c>
      <c r="J294" s="23">
        <v>44111</v>
      </c>
      <c r="K294" s="24">
        <v>0.24</v>
      </c>
      <c r="L294" s="23">
        <v>44202</v>
      </c>
      <c r="M294" s="77">
        <v>0.24</v>
      </c>
      <c r="N294" s="25"/>
      <c r="O294" s="24"/>
      <c r="P294" s="24"/>
      <c r="Q294" s="24"/>
      <c r="R294" s="24"/>
      <c r="S294" s="24"/>
      <c r="T294" s="26">
        <f t="shared" si="18"/>
        <v>0.96</v>
      </c>
    </row>
    <row r="295" spans="2:20" x14ac:dyDescent="0.25">
      <c r="B295" s="134" t="s">
        <v>551</v>
      </c>
      <c r="C295" s="137" t="s">
        <v>578</v>
      </c>
      <c r="D295" s="135" t="s">
        <v>55</v>
      </c>
      <c r="E295" s="22" t="s">
        <v>56</v>
      </c>
      <c r="F295" s="23">
        <v>43895</v>
      </c>
      <c r="G295" s="24">
        <v>0.95499999999999996</v>
      </c>
      <c r="H295" s="23">
        <v>43986</v>
      </c>
      <c r="I295" s="24">
        <v>1.0225</v>
      </c>
      <c r="J295" s="23">
        <v>44077</v>
      </c>
      <c r="K295" s="24">
        <v>1.0225</v>
      </c>
      <c r="L295" s="23">
        <v>44168</v>
      </c>
      <c r="M295" s="24">
        <v>1.0225</v>
      </c>
      <c r="N295" s="25"/>
      <c r="O295" s="24"/>
      <c r="P295" s="24"/>
      <c r="Q295" s="24"/>
      <c r="R295" s="24"/>
      <c r="S295" s="24"/>
      <c r="T295" s="26">
        <f t="shared" si="18"/>
        <v>4.0225</v>
      </c>
    </row>
    <row r="296" spans="2:20" x14ac:dyDescent="0.25">
      <c r="B296" s="134" t="s">
        <v>363</v>
      </c>
      <c r="C296" s="137" t="s">
        <v>364</v>
      </c>
      <c r="D296" s="135" t="s">
        <v>55</v>
      </c>
      <c r="E296" s="22" t="s">
        <v>56</v>
      </c>
      <c r="F296" s="23">
        <v>43860</v>
      </c>
      <c r="G296" s="24">
        <v>0.38</v>
      </c>
      <c r="H296" s="23">
        <v>44017</v>
      </c>
      <c r="I296" s="24">
        <v>0.38</v>
      </c>
      <c r="J296" s="23">
        <v>44042</v>
      </c>
      <c r="K296" s="24">
        <v>0.38</v>
      </c>
      <c r="L296" s="23">
        <v>44140</v>
      </c>
      <c r="M296" s="24">
        <v>0.38</v>
      </c>
      <c r="N296" s="25"/>
      <c r="O296" s="24"/>
      <c r="P296" s="24"/>
      <c r="Q296" s="24"/>
      <c r="R296" s="24"/>
      <c r="S296" s="24"/>
      <c r="T296" s="26">
        <f t="shared" si="18"/>
        <v>1.52</v>
      </c>
    </row>
    <row r="297" spans="2:20" x14ac:dyDescent="0.25">
      <c r="B297" s="134" t="s">
        <v>606</v>
      </c>
      <c r="C297" s="137" t="s">
        <v>365</v>
      </c>
      <c r="D297" s="135" t="s">
        <v>55</v>
      </c>
      <c r="E297" s="22" t="s">
        <v>56</v>
      </c>
      <c r="F297" s="23">
        <v>43910</v>
      </c>
      <c r="G297" s="24">
        <v>1.17</v>
      </c>
      <c r="H297" s="23">
        <v>44001</v>
      </c>
      <c r="I297" s="24">
        <v>1.17</v>
      </c>
      <c r="J297" s="23">
        <v>44097</v>
      </c>
      <c r="K297" s="24">
        <v>1.2</v>
      </c>
      <c r="L297" s="23">
        <v>44187</v>
      </c>
      <c r="M297" s="24">
        <v>1.2</v>
      </c>
      <c r="N297" s="25"/>
      <c r="O297" s="24"/>
      <c r="P297" s="24"/>
      <c r="Q297" s="24"/>
      <c r="R297" s="24"/>
      <c r="S297" s="24"/>
      <c r="T297" s="26">
        <f t="shared" si="18"/>
        <v>4.74</v>
      </c>
    </row>
    <row r="298" spans="2:20" x14ac:dyDescent="0.25">
      <c r="B298" s="134" t="s">
        <v>355</v>
      </c>
      <c r="C298" s="137" t="s">
        <v>356</v>
      </c>
      <c r="D298" s="135" t="s">
        <v>55</v>
      </c>
      <c r="E298" s="22" t="s">
        <v>56</v>
      </c>
      <c r="F298" s="23">
        <v>43853</v>
      </c>
      <c r="G298" s="24">
        <v>0.74590000000000001</v>
      </c>
      <c r="H298" s="23">
        <v>43944</v>
      </c>
      <c r="I298" s="24">
        <v>0.79069999999999996</v>
      </c>
      <c r="J298" s="23">
        <v>44035</v>
      </c>
      <c r="K298" s="24">
        <v>0.79069999999999996</v>
      </c>
      <c r="L298" s="23">
        <v>44126</v>
      </c>
      <c r="M298" s="24">
        <v>0.79069999999999996</v>
      </c>
      <c r="N298" s="25"/>
      <c r="O298" s="24"/>
      <c r="P298" s="24"/>
      <c r="Q298" s="24"/>
      <c r="R298" s="24"/>
      <c r="S298" s="24"/>
      <c r="T298" s="26">
        <f t="shared" si="18"/>
        <v>3.1180000000000003</v>
      </c>
    </row>
    <row r="299" spans="2:20" x14ac:dyDescent="0.25">
      <c r="B299" s="134" t="s">
        <v>572</v>
      </c>
      <c r="C299" s="137" t="s">
        <v>599</v>
      </c>
      <c r="D299" s="135" t="s">
        <v>55</v>
      </c>
      <c r="E299" s="22" t="s">
        <v>56</v>
      </c>
      <c r="F299" s="23">
        <v>43894</v>
      </c>
      <c r="G299" s="24">
        <v>0.62</v>
      </c>
      <c r="H299" s="139">
        <v>43985</v>
      </c>
      <c r="I299" s="140">
        <v>0.65</v>
      </c>
      <c r="J299" s="139">
        <v>44076</v>
      </c>
      <c r="K299" s="140">
        <v>0.65</v>
      </c>
      <c r="L299" s="139">
        <v>44167</v>
      </c>
      <c r="M299" s="140">
        <v>0.65</v>
      </c>
      <c r="N299" s="141"/>
      <c r="O299" s="140"/>
      <c r="P299" s="140"/>
      <c r="Q299" s="140"/>
      <c r="R299" s="140"/>
      <c r="S299" s="140"/>
      <c r="T299" s="26">
        <f t="shared" si="18"/>
        <v>2.57</v>
      </c>
    </row>
    <row r="300" spans="2:20" x14ac:dyDescent="0.25">
      <c r="B300" s="134" t="s">
        <v>559</v>
      </c>
      <c r="C300" s="137" t="s">
        <v>586</v>
      </c>
      <c r="D300" s="135" t="s">
        <v>55</v>
      </c>
      <c r="E300" s="22" t="s">
        <v>56</v>
      </c>
      <c r="F300" s="23">
        <v>43872</v>
      </c>
      <c r="G300" s="24">
        <v>0.5</v>
      </c>
      <c r="H300" s="23">
        <v>43984</v>
      </c>
      <c r="I300" s="24">
        <v>0.125</v>
      </c>
      <c r="J300" s="23">
        <v>44075</v>
      </c>
      <c r="K300" s="24">
        <v>0.125</v>
      </c>
      <c r="L300" s="23">
        <v>44166</v>
      </c>
      <c r="M300" s="77">
        <v>0.125</v>
      </c>
      <c r="N300" s="25"/>
      <c r="O300" s="24"/>
      <c r="P300" s="24"/>
      <c r="Q300" s="24"/>
      <c r="R300" s="24"/>
      <c r="S300" s="24"/>
      <c r="T300" s="26">
        <f t="shared" si="18"/>
        <v>0.875</v>
      </c>
    </row>
    <row r="301" spans="2:20" x14ac:dyDescent="0.25">
      <c r="B301" s="134" t="s">
        <v>443</v>
      </c>
      <c r="C301" s="137" t="s">
        <v>444</v>
      </c>
      <c r="D301" s="135" t="s">
        <v>55</v>
      </c>
      <c r="E301" s="22" t="s">
        <v>56</v>
      </c>
      <c r="F301" s="23">
        <v>43875</v>
      </c>
      <c r="G301" s="24">
        <v>0.62</v>
      </c>
      <c r="H301" s="23">
        <v>43966</v>
      </c>
      <c r="I301" s="24">
        <v>0.64</v>
      </c>
      <c r="J301" s="23">
        <v>44057</v>
      </c>
      <c r="K301" s="24">
        <v>0.64</v>
      </c>
      <c r="L301" s="23">
        <v>44148</v>
      </c>
      <c r="M301" s="77">
        <v>0.64</v>
      </c>
      <c r="N301" s="25"/>
      <c r="O301" s="24"/>
      <c r="P301" s="24"/>
      <c r="Q301" s="24"/>
      <c r="R301" s="24"/>
      <c r="S301" s="24"/>
      <c r="T301" s="26">
        <f t="shared" si="18"/>
        <v>2.54</v>
      </c>
    </row>
    <row r="302" spans="2:20" x14ac:dyDescent="0.25">
      <c r="B302" s="134" t="s">
        <v>571</v>
      </c>
      <c r="C302" s="137" t="s">
        <v>598</v>
      </c>
      <c r="D302" s="135" t="s">
        <v>55</v>
      </c>
      <c r="E302" s="22" t="s">
        <v>56</v>
      </c>
      <c r="F302" s="23">
        <v>44049</v>
      </c>
      <c r="G302" s="24">
        <v>0.41</v>
      </c>
      <c r="H302" s="23">
        <v>44145</v>
      </c>
      <c r="I302" s="24">
        <v>0.45</v>
      </c>
      <c r="J302" s="23"/>
      <c r="K302" s="24"/>
      <c r="L302" s="23"/>
      <c r="M302" s="77"/>
      <c r="N302" s="25"/>
      <c r="O302" s="24"/>
      <c r="P302" s="24"/>
      <c r="Q302" s="24"/>
      <c r="R302" s="24"/>
      <c r="S302" s="24"/>
      <c r="T302" s="26">
        <f t="shared" si="18"/>
        <v>0.86</v>
      </c>
    </row>
    <row r="303" spans="2:20" x14ac:dyDescent="0.25">
      <c r="B303" s="134" t="s">
        <v>576</v>
      </c>
      <c r="C303" s="137" t="s">
        <v>603</v>
      </c>
      <c r="D303" s="135" t="s">
        <v>55</v>
      </c>
      <c r="E303" s="22" t="s">
        <v>56</v>
      </c>
      <c r="F303" s="23">
        <v>43860</v>
      </c>
      <c r="G303" s="24">
        <v>0.9</v>
      </c>
      <c r="H303" s="23">
        <v>43952</v>
      </c>
      <c r="I303" s="24">
        <v>0.9</v>
      </c>
      <c r="J303" s="23">
        <v>44042</v>
      </c>
      <c r="K303" s="24">
        <v>0.9</v>
      </c>
      <c r="L303" s="23">
        <v>44133</v>
      </c>
      <c r="M303" s="77">
        <v>1.02</v>
      </c>
      <c r="N303" s="25"/>
      <c r="O303" s="24"/>
      <c r="P303" s="24"/>
      <c r="Q303" s="24"/>
      <c r="R303" s="24"/>
      <c r="S303" s="24"/>
      <c r="T303" s="26">
        <f t="shared" si="18"/>
        <v>3.72</v>
      </c>
    </row>
    <row r="304" spans="2:20" x14ac:dyDescent="0.25">
      <c r="B304" s="134" t="s">
        <v>569</v>
      </c>
      <c r="C304" s="137" t="s">
        <v>596</v>
      </c>
      <c r="D304" s="135" t="s">
        <v>55</v>
      </c>
      <c r="E304" s="22" t="s">
        <v>56</v>
      </c>
      <c r="F304" s="23">
        <v>43888</v>
      </c>
      <c r="G304" s="24">
        <v>0.97</v>
      </c>
      <c r="H304" s="23">
        <v>43979</v>
      </c>
      <c r="I304" s="24">
        <v>0.97</v>
      </c>
      <c r="J304" s="23">
        <v>44071</v>
      </c>
      <c r="K304" s="24">
        <v>0.97</v>
      </c>
      <c r="L304" s="23">
        <v>44162</v>
      </c>
      <c r="M304" s="77">
        <v>0.97</v>
      </c>
      <c r="N304" s="25"/>
      <c r="O304" s="24"/>
      <c r="P304" s="24"/>
      <c r="Q304" s="24"/>
      <c r="R304" s="24"/>
      <c r="S304" s="24"/>
      <c r="T304" s="26">
        <f t="shared" si="18"/>
        <v>3.88</v>
      </c>
    </row>
    <row r="305" spans="2:20" x14ac:dyDescent="0.25">
      <c r="B305" s="134" t="s">
        <v>697</v>
      </c>
      <c r="C305" s="137" t="s">
        <v>600</v>
      </c>
      <c r="D305" s="135" t="s">
        <v>55</v>
      </c>
      <c r="E305" s="22" t="s">
        <v>56</v>
      </c>
      <c r="F305" s="23">
        <v>43874</v>
      </c>
      <c r="G305" s="24">
        <v>0.4335</v>
      </c>
      <c r="H305" s="23">
        <v>43965</v>
      </c>
      <c r="I305" s="24">
        <v>0.47499999999999998</v>
      </c>
      <c r="J305" s="23">
        <v>44056</v>
      </c>
      <c r="K305" s="24">
        <v>0.47499999999999998</v>
      </c>
      <c r="L305" s="23">
        <v>44147</v>
      </c>
      <c r="M305" s="77">
        <v>0.47499999999999998</v>
      </c>
      <c r="N305" s="25"/>
      <c r="O305" s="24"/>
      <c r="P305" s="24"/>
      <c r="Q305" s="24"/>
      <c r="R305" s="24"/>
      <c r="S305" s="24"/>
      <c r="T305" s="26">
        <f t="shared" si="18"/>
        <v>1.8584999999999998</v>
      </c>
    </row>
    <row r="306" spans="2:20" x14ac:dyDescent="0.25">
      <c r="B306" s="134" t="s">
        <v>552</v>
      </c>
      <c r="C306" s="137" t="s">
        <v>579</v>
      </c>
      <c r="D306" s="135" t="s">
        <v>55</v>
      </c>
      <c r="E306" s="22" t="s">
        <v>56</v>
      </c>
      <c r="F306" s="23">
        <v>43903</v>
      </c>
      <c r="G306" s="24">
        <v>1.08</v>
      </c>
      <c r="H306" s="23">
        <v>44001</v>
      </c>
      <c r="I306" s="24">
        <v>1.25</v>
      </c>
      <c r="J306" s="23">
        <v>44085</v>
      </c>
      <c r="K306" s="24">
        <v>1.25</v>
      </c>
      <c r="L306" s="23">
        <v>44169</v>
      </c>
      <c r="M306" s="77">
        <v>1.25</v>
      </c>
      <c r="N306" s="25"/>
      <c r="O306" s="24"/>
      <c r="P306" s="24"/>
      <c r="Q306" s="24"/>
      <c r="R306" s="24"/>
      <c r="S306" s="24"/>
      <c r="T306" s="26">
        <f t="shared" si="18"/>
        <v>4.83</v>
      </c>
    </row>
    <row r="307" spans="2:20" x14ac:dyDescent="0.25">
      <c r="B307" s="134" t="s">
        <v>574</v>
      </c>
      <c r="C307" s="137" t="s">
        <v>601</v>
      </c>
      <c r="D307" s="135" t="s">
        <v>55</v>
      </c>
      <c r="E307" s="22" t="s">
        <v>56</v>
      </c>
      <c r="F307" s="23">
        <v>43920</v>
      </c>
      <c r="G307" s="24">
        <v>0.42</v>
      </c>
      <c r="H307" s="23">
        <v>44011</v>
      </c>
      <c r="I307" s="24">
        <v>0.42</v>
      </c>
      <c r="J307" s="23">
        <v>44103</v>
      </c>
      <c r="K307" s="24">
        <v>0.42</v>
      </c>
      <c r="L307" s="23">
        <v>44195</v>
      </c>
      <c r="M307" s="24">
        <v>0.42</v>
      </c>
      <c r="N307" s="25"/>
      <c r="O307" s="24"/>
      <c r="P307" s="24"/>
      <c r="Q307" s="24"/>
      <c r="R307" s="24"/>
      <c r="S307" s="24"/>
      <c r="T307" s="26">
        <f t="shared" si="18"/>
        <v>1.68</v>
      </c>
    </row>
    <row r="308" spans="2:20" x14ac:dyDescent="0.25">
      <c r="B308" s="134" t="s">
        <v>518</v>
      </c>
      <c r="C308" s="137" t="s">
        <v>519</v>
      </c>
      <c r="D308" s="135" t="s">
        <v>55</v>
      </c>
      <c r="E308" s="22" t="s">
        <v>56</v>
      </c>
      <c r="F308" s="23">
        <v>43930</v>
      </c>
      <c r="G308" s="24">
        <v>0.61499999999999999</v>
      </c>
      <c r="H308" s="23">
        <v>44021</v>
      </c>
      <c r="I308" s="24">
        <v>0.61499999999999999</v>
      </c>
      <c r="J308" s="23">
        <v>44112</v>
      </c>
      <c r="K308" s="24">
        <v>0.62749999999999995</v>
      </c>
      <c r="L308" s="23">
        <v>44203</v>
      </c>
      <c r="M308" s="77">
        <v>0.62749999999999995</v>
      </c>
      <c r="N308" s="25"/>
      <c r="O308" s="24"/>
      <c r="P308" s="24"/>
      <c r="Q308" s="24"/>
      <c r="R308" s="24"/>
      <c r="S308" s="24"/>
      <c r="T308" s="26">
        <f t="shared" si="18"/>
        <v>2.4849999999999999</v>
      </c>
    </row>
    <row r="309" spans="2:20" x14ac:dyDescent="0.25">
      <c r="B309" s="134" t="s">
        <v>522</v>
      </c>
      <c r="C309" s="137" t="s">
        <v>523</v>
      </c>
      <c r="D309" s="135" t="s">
        <v>55</v>
      </c>
      <c r="E309" s="22" t="s">
        <v>56</v>
      </c>
      <c r="F309" s="23">
        <v>43874</v>
      </c>
      <c r="G309" s="24">
        <v>0.3</v>
      </c>
      <c r="H309" s="23">
        <v>43964</v>
      </c>
      <c r="I309" s="24">
        <v>0.3</v>
      </c>
      <c r="J309" s="23">
        <v>44056</v>
      </c>
      <c r="K309" s="24">
        <v>0.3</v>
      </c>
      <c r="L309" s="23">
        <v>44147</v>
      </c>
      <c r="M309" s="77">
        <v>0.32</v>
      </c>
      <c r="N309" s="25"/>
      <c r="O309" s="24"/>
      <c r="P309" s="24"/>
      <c r="Q309" s="24"/>
      <c r="R309" s="24"/>
      <c r="S309" s="24"/>
      <c r="T309" s="26">
        <f t="shared" si="18"/>
        <v>1.22</v>
      </c>
    </row>
    <row r="310" spans="2:20" x14ac:dyDescent="0.25">
      <c r="B310" s="134" t="s">
        <v>631</v>
      </c>
      <c r="C310" s="137" t="s">
        <v>587</v>
      </c>
      <c r="D310" s="135" t="s">
        <v>55</v>
      </c>
      <c r="E310" s="22" t="s">
        <v>56</v>
      </c>
      <c r="F310" s="23">
        <v>43909</v>
      </c>
      <c r="G310" s="24">
        <v>0.54</v>
      </c>
      <c r="H310" s="23">
        <v>43958</v>
      </c>
      <c r="I310" s="24">
        <v>0.54</v>
      </c>
      <c r="J310" s="23">
        <v>44056</v>
      </c>
      <c r="K310" s="24">
        <v>0.54</v>
      </c>
      <c r="L310" s="23">
        <v>44175</v>
      </c>
      <c r="M310" s="77">
        <v>0.54</v>
      </c>
      <c r="N310" s="25"/>
      <c r="O310" s="24"/>
      <c r="P310" s="24"/>
      <c r="Q310" s="24"/>
      <c r="R310" s="24"/>
      <c r="S310" s="24"/>
      <c r="T310" s="26">
        <f t="shared" si="18"/>
        <v>2.16</v>
      </c>
    </row>
    <row r="311" spans="2:20" x14ac:dyDescent="0.25">
      <c r="B311" s="134" t="s">
        <v>536</v>
      </c>
      <c r="C311" s="137" t="s">
        <v>537</v>
      </c>
      <c r="D311" s="135" t="s">
        <v>55</v>
      </c>
      <c r="E311" s="22" t="s">
        <v>56</v>
      </c>
      <c r="F311" s="23"/>
      <c r="G311" s="24"/>
      <c r="H311" s="23"/>
      <c r="I311" s="24"/>
      <c r="J311" s="23"/>
      <c r="K311" s="24"/>
      <c r="L311" s="23"/>
      <c r="M311" s="77"/>
      <c r="N311" s="25"/>
      <c r="O311" s="24"/>
      <c r="P311" s="24"/>
      <c r="Q311" s="24"/>
      <c r="R311" s="24"/>
      <c r="S311" s="24"/>
      <c r="T311" s="26">
        <f t="shared" si="18"/>
        <v>0</v>
      </c>
    </row>
    <row r="312" spans="2:20" x14ac:dyDescent="0.25">
      <c r="B312" s="134" t="s">
        <v>538</v>
      </c>
      <c r="C312" s="137" t="s">
        <v>539</v>
      </c>
      <c r="D312" s="135" t="s">
        <v>55</v>
      </c>
      <c r="E312" s="22" t="s">
        <v>56</v>
      </c>
      <c r="F312" s="23">
        <v>43867</v>
      </c>
      <c r="G312" s="24">
        <v>0.51</v>
      </c>
      <c r="H312" s="23">
        <v>43958</v>
      </c>
      <c r="I312" s="24">
        <v>0.51</v>
      </c>
      <c r="J312" s="23">
        <v>44049</v>
      </c>
      <c r="K312" s="24">
        <v>0.1</v>
      </c>
      <c r="L312" s="23">
        <v>44140</v>
      </c>
      <c r="M312" s="77">
        <v>0.1</v>
      </c>
      <c r="N312" s="25"/>
      <c r="O312" s="24"/>
      <c r="P312" s="24"/>
      <c r="Q312" s="24"/>
      <c r="R312" s="24"/>
      <c r="S312" s="24"/>
      <c r="T312" s="26">
        <f t="shared" si="18"/>
        <v>1.2200000000000002</v>
      </c>
    </row>
  </sheetData>
  <sheetProtection algorithmName="SHA-512" hashValue="eDz0RHDBPn1pYsbO5b8IBYCw3KTp1SrV9KBqjLvC5YCBrxmecqJCaAOl0ow3P3znusNzlHobbxIsupDxjVtTwQ==" saltValue="r6jDC//ZGvz42dR94+T/gA==" spinCount="100000" sheet="1" objects="1" scenarios="1"/>
  <mergeCells count="4">
    <mergeCell ref="L9:M9"/>
    <mergeCell ref="F11:T11"/>
    <mergeCell ref="H9:I9"/>
    <mergeCell ref="J9:K9"/>
  </mergeCells>
  <pageMargins left="0.7" right="0.7" top="0.75" bottom="0.75" header="0.3" footer="0.3"/>
  <pageSetup paperSize="9" orientation="portrait" r:id="rId1"/>
  <ignoredErrors>
    <ignoredError sqref="T14" unlockedFormula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302"/>
  <sheetViews>
    <sheetView showGridLines="0" zoomScale="85" zoomScaleNormal="85" workbookViewId="0">
      <selection activeCell="B47" sqref="B47"/>
    </sheetView>
  </sheetViews>
  <sheetFormatPr defaultColWidth="0" defaultRowHeight="15" x14ac:dyDescent="0.25"/>
  <cols>
    <col min="1" max="1" width="3" customWidth="1"/>
    <col min="2" max="2" width="40.5703125" bestFit="1" customWidth="1"/>
    <col min="3" max="3" width="13.7109375" bestFit="1" customWidth="1"/>
    <col min="4" max="4" width="15.5703125" bestFit="1" customWidth="1"/>
    <col min="5" max="5" width="9.28515625" customWidth="1"/>
    <col min="6" max="6" width="9.7109375" customWidth="1"/>
    <col min="7" max="7" width="9.28515625" customWidth="1"/>
    <col min="8" max="8" width="9.7109375" customWidth="1"/>
    <col min="9" max="9" width="9.28515625" customWidth="1"/>
    <col min="10" max="10" width="9.5703125" bestFit="1" customWidth="1"/>
    <col min="11" max="11" width="9.28515625" customWidth="1"/>
    <col min="12" max="12" width="10" customWidth="1"/>
    <col min="13" max="13" width="9.28515625" customWidth="1"/>
    <col min="14" max="14" width="10" customWidth="1"/>
    <col min="15" max="15" width="9.28515625" customWidth="1"/>
    <col min="16" max="16" width="10.28515625" bestFit="1" customWidth="1"/>
    <col min="17" max="17" width="3" customWidth="1"/>
    <col min="18" max="16384" width="9.28515625" hidden="1"/>
  </cols>
  <sheetData>
    <row r="1" spans="2:16" x14ac:dyDescent="0.25"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2:16" x14ac:dyDescent="0.25"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x14ac:dyDescent="0.25"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2:16" x14ac:dyDescent="0.25"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x14ac:dyDescent="0.25"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x14ac:dyDescent="0.25"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x14ac:dyDescent="0.25"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49.5" customHeight="1" x14ac:dyDescent="0.25"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spans="2:16" ht="15" customHeight="1" x14ac:dyDescent="0.25">
      <c r="H9" t="s">
        <v>624</v>
      </c>
      <c r="L9" s="182" t="s">
        <v>0</v>
      </c>
      <c r="M9" s="182"/>
      <c r="N9" s="1"/>
      <c r="O9" s="2" t="s">
        <v>1</v>
      </c>
      <c r="P9" s="3">
        <v>43776</v>
      </c>
    </row>
    <row r="10" spans="2:16" ht="3.75" customHeight="1" x14ac:dyDescent="0.25">
      <c r="F10" s="1"/>
      <c r="G10" s="1"/>
      <c r="H10" s="1"/>
      <c r="I10" s="1"/>
      <c r="J10" s="1"/>
      <c r="K10" s="1"/>
      <c r="L10" s="1"/>
      <c r="M10" s="1"/>
      <c r="N10" s="1"/>
      <c r="O10" s="2"/>
      <c r="P10" s="3"/>
    </row>
    <row r="11" spans="2:16" ht="34.5" customHeight="1" x14ac:dyDescent="0.25">
      <c r="B11" s="4" t="s">
        <v>2</v>
      </c>
      <c r="C11" s="5"/>
      <c r="D11" s="5"/>
      <c r="E11" s="5"/>
      <c r="F11" s="183" t="s">
        <v>639</v>
      </c>
      <c r="G11" s="183"/>
      <c r="H11" s="183"/>
      <c r="I11" s="183"/>
      <c r="J11" s="183"/>
      <c r="K11" s="183"/>
      <c r="L11" s="183"/>
      <c r="M11" s="183"/>
      <c r="N11" s="183"/>
      <c r="O11" s="183"/>
      <c r="P11" s="6"/>
    </row>
    <row r="12" spans="2:16" x14ac:dyDescent="0.25">
      <c r="B12" s="7" t="s">
        <v>4</v>
      </c>
      <c r="C12" s="7" t="s">
        <v>5</v>
      </c>
      <c r="D12" s="7" t="s">
        <v>6</v>
      </c>
      <c r="E12" s="7" t="s">
        <v>7</v>
      </c>
      <c r="F12" s="8" t="s">
        <v>8</v>
      </c>
      <c r="G12" s="8"/>
      <c r="H12" s="8" t="s">
        <v>9</v>
      </c>
      <c r="I12" s="8"/>
      <c r="J12" s="8" t="s">
        <v>10</v>
      </c>
      <c r="K12" s="8"/>
      <c r="L12" s="8" t="s">
        <v>11</v>
      </c>
      <c r="M12" s="8"/>
      <c r="N12" s="8" t="s">
        <v>605</v>
      </c>
      <c r="O12" s="8"/>
      <c r="P12" s="8" t="s">
        <v>12</v>
      </c>
    </row>
    <row r="13" spans="2:16" ht="5.25" customHeight="1" x14ac:dyDescent="0.25">
      <c r="B13" s="9"/>
      <c r="C13" s="9"/>
      <c r="D13" s="9"/>
      <c r="E13" s="10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</row>
    <row r="14" spans="2:16" x14ac:dyDescent="0.25">
      <c r="B14" s="19" t="s">
        <v>557</v>
      </c>
      <c r="C14" s="20" t="s">
        <v>584</v>
      </c>
      <c r="D14" s="21" t="s">
        <v>55</v>
      </c>
      <c r="E14" s="22" t="s">
        <v>56</v>
      </c>
      <c r="F14" s="23">
        <v>43510</v>
      </c>
      <c r="G14" s="24">
        <v>1.44</v>
      </c>
      <c r="H14" s="23">
        <v>43608</v>
      </c>
      <c r="I14" s="24">
        <v>1.44</v>
      </c>
      <c r="J14" s="23">
        <v>43692</v>
      </c>
      <c r="K14" s="24">
        <v>1.44</v>
      </c>
      <c r="L14" s="23"/>
      <c r="M14" s="77"/>
      <c r="N14" s="25"/>
      <c r="O14" s="24"/>
      <c r="P14" s="26">
        <f t="shared" ref="P14:P77" si="0">G14+I14+K14+M14+O14</f>
        <v>4.32</v>
      </c>
    </row>
    <row r="15" spans="2:16" x14ac:dyDescent="0.25">
      <c r="B15" s="12" t="s">
        <v>13</v>
      </c>
      <c r="C15" s="13" t="s">
        <v>14</v>
      </c>
      <c r="D15" s="14" t="s">
        <v>15</v>
      </c>
      <c r="E15" s="14" t="s">
        <v>16</v>
      </c>
      <c r="F15" s="15">
        <v>43605</v>
      </c>
      <c r="G15" s="16">
        <v>7.0000000000000007E-2</v>
      </c>
      <c r="H15" s="15"/>
      <c r="I15" s="16"/>
      <c r="J15" s="15"/>
      <c r="K15" s="16"/>
      <c r="L15" s="15"/>
      <c r="M15" s="63"/>
      <c r="N15" s="17"/>
      <c r="O15" s="16"/>
      <c r="P15" s="18">
        <f t="shared" si="0"/>
        <v>7.0000000000000007E-2</v>
      </c>
    </row>
    <row r="16" spans="2:16" x14ac:dyDescent="0.25">
      <c r="B16" s="12" t="s">
        <v>684</v>
      </c>
      <c r="C16" s="13" t="s">
        <v>18</v>
      </c>
      <c r="D16" s="14" t="s">
        <v>15</v>
      </c>
      <c r="E16" s="14" t="s">
        <v>16</v>
      </c>
      <c r="F16" s="15">
        <v>43578</v>
      </c>
      <c r="G16" s="16">
        <v>0.75</v>
      </c>
      <c r="H16" s="15"/>
      <c r="I16" s="16"/>
      <c r="J16" s="15"/>
      <c r="K16" s="16"/>
      <c r="L16" s="15"/>
      <c r="M16" s="63"/>
      <c r="N16" s="17"/>
      <c r="O16" s="16"/>
      <c r="P16" s="18">
        <f t="shared" si="0"/>
        <v>0.75</v>
      </c>
    </row>
    <row r="17" spans="2:16" x14ac:dyDescent="0.25">
      <c r="B17" s="12" t="s">
        <v>19</v>
      </c>
      <c r="C17" s="13" t="s">
        <v>20</v>
      </c>
      <c r="D17" s="14" t="s">
        <v>15</v>
      </c>
      <c r="E17" s="14" t="s">
        <v>21</v>
      </c>
      <c r="F17" s="15">
        <v>43591</v>
      </c>
      <c r="G17" s="16">
        <v>0.8</v>
      </c>
      <c r="H17" s="15"/>
      <c r="I17" s="16"/>
      <c r="J17" s="15"/>
      <c r="K17" s="16"/>
      <c r="L17" s="15"/>
      <c r="M17" s="63"/>
      <c r="N17" s="17"/>
      <c r="O17" s="16"/>
      <c r="P17" s="18">
        <f t="shared" si="0"/>
        <v>0.8</v>
      </c>
    </row>
    <row r="18" spans="2:16" x14ac:dyDescent="0.25">
      <c r="B18" s="19" t="s">
        <v>563</v>
      </c>
      <c r="C18" s="20" t="s">
        <v>590</v>
      </c>
      <c r="D18" s="21" t="s">
        <v>55</v>
      </c>
      <c r="E18" s="22" t="s">
        <v>56</v>
      </c>
      <c r="F18" s="23">
        <v>43567</v>
      </c>
      <c r="G18" s="24">
        <v>1.07</v>
      </c>
      <c r="H18" s="23">
        <v>43658</v>
      </c>
      <c r="I18" s="24">
        <v>1.07</v>
      </c>
      <c r="J18" s="23">
        <v>43749</v>
      </c>
      <c r="K18" s="24">
        <v>1.07</v>
      </c>
      <c r="L18" s="23"/>
      <c r="M18" s="77"/>
      <c r="N18" s="25"/>
      <c r="O18" s="24"/>
      <c r="P18" s="26">
        <f t="shared" si="0"/>
        <v>3.21</v>
      </c>
    </row>
    <row r="19" spans="2:16" x14ac:dyDescent="0.25">
      <c r="B19" s="12" t="s">
        <v>22</v>
      </c>
      <c r="C19" s="13" t="s">
        <v>23</v>
      </c>
      <c r="D19" s="14" t="s">
        <v>24</v>
      </c>
      <c r="E19" s="14" t="s">
        <v>16</v>
      </c>
      <c r="F19" s="15">
        <v>43595</v>
      </c>
      <c r="G19" s="16">
        <v>1.05</v>
      </c>
      <c r="H19" s="15"/>
      <c r="I19" s="16"/>
      <c r="J19" s="15"/>
      <c r="K19" s="16"/>
      <c r="L19" s="15"/>
      <c r="M19" s="63"/>
      <c r="N19" s="17"/>
      <c r="O19" s="16"/>
      <c r="P19" s="18">
        <f t="shared" si="0"/>
        <v>1.05</v>
      </c>
    </row>
    <row r="20" spans="2:16" x14ac:dyDescent="0.25">
      <c r="B20" s="12" t="s">
        <v>25</v>
      </c>
      <c r="C20" s="13" t="s">
        <v>26</v>
      </c>
      <c r="D20" s="14" t="s">
        <v>27</v>
      </c>
      <c r="E20" s="14" t="s">
        <v>16</v>
      </c>
      <c r="F20" s="15">
        <v>43619</v>
      </c>
      <c r="G20" s="16">
        <v>2.3199999999999998</v>
      </c>
      <c r="H20" s="15"/>
      <c r="I20" s="16"/>
      <c r="J20" s="15"/>
      <c r="K20" s="16"/>
      <c r="L20" s="15"/>
      <c r="M20" s="63"/>
      <c r="N20" s="17"/>
      <c r="O20" s="16"/>
      <c r="P20" s="18">
        <f t="shared" si="0"/>
        <v>2.3199999999999998</v>
      </c>
    </row>
    <row r="21" spans="2:16" x14ac:dyDescent="0.25">
      <c r="B21" s="12" t="s">
        <v>28</v>
      </c>
      <c r="C21" s="13" t="s">
        <v>29</v>
      </c>
      <c r="D21" s="14" t="s">
        <v>15</v>
      </c>
      <c r="E21" s="14" t="s">
        <v>21</v>
      </c>
      <c r="F21" s="15">
        <v>43578</v>
      </c>
      <c r="G21" s="16">
        <v>2.5</v>
      </c>
      <c r="H21" s="15"/>
      <c r="I21" s="16"/>
      <c r="J21" s="15"/>
      <c r="K21" s="16"/>
      <c r="L21" s="15"/>
      <c r="M21" s="63"/>
      <c r="N21" s="17"/>
      <c r="O21" s="16"/>
      <c r="P21" s="18">
        <f t="shared" si="0"/>
        <v>2.5</v>
      </c>
    </row>
    <row r="22" spans="2:16" x14ac:dyDescent="0.25">
      <c r="B22" s="12" t="s">
        <v>30</v>
      </c>
      <c r="C22" s="13" t="s">
        <v>31</v>
      </c>
      <c r="D22" s="14" t="s">
        <v>15</v>
      </c>
      <c r="E22" s="14" t="s">
        <v>16</v>
      </c>
      <c r="F22" s="15">
        <v>43594</v>
      </c>
      <c r="G22" s="16">
        <v>3.35</v>
      </c>
      <c r="H22" s="15"/>
      <c r="I22" s="16"/>
      <c r="J22" s="15"/>
      <c r="K22" s="16"/>
      <c r="L22" s="15"/>
      <c r="M22" s="63"/>
      <c r="N22" s="17"/>
      <c r="O22" s="16"/>
      <c r="P22" s="18">
        <f t="shared" si="0"/>
        <v>3.35</v>
      </c>
    </row>
    <row r="23" spans="2:16" x14ac:dyDescent="0.25">
      <c r="B23" s="12" t="s">
        <v>32</v>
      </c>
      <c r="C23" s="13" t="s">
        <v>33</v>
      </c>
      <c r="D23" s="14" t="s">
        <v>15</v>
      </c>
      <c r="E23" s="14" t="s">
        <v>16</v>
      </c>
      <c r="F23" s="15">
        <v>43606</v>
      </c>
      <c r="G23" s="16">
        <v>0.15</v>
      </c>
      <c r="H23" s="15">
        <v>43700</v>
      </c>
      <c r="I23" s="16">
        <v>0.15</v>
      </c>
      <c r="J23" s="15"/>
      <c r="K23" s="16"/>
      <c r="L23" s="15"/>
      <c r="M23" s="63"/>
      <c r="N23" s="17"/>
      <c r="O23" s="16"/>
      <c r="P23" s="18">
        <f t="shared" si="0"/>
        <v>0.3</v>
      </c>
    </row>
    <row r="24" spans="2:16" x14ac:dyDescent="0.25">
      <c r="B24" s="12" t="s">
        <v>630</v>
      </c>
      <c r="C24" s="13" t="s">
        <v>625</v>
      </c>
      <c r="D24" s="14" t="s">
        <v>15</v>
      </c>
      <c r="E24" s="14" t="s">
        <v>16</v>
      </c>
      <c r="F24" s="15">
        <v>43572</v>
      </c>
      <c r="G24" s="16">
        <v>6.93</v>
      </c>
      <c r="H24" s="15"/>
      <c r="I24" s="16"/>
      <c r="J24" s="15"/>
      <c r="K24" s="16"/>
      <c r="L24" s="15"/>
      <c r="M24" s="63"/>
      <c r="N24" s="17"/>
      <c r="O24" s="16"/>
      <c r="P24" s="18">
        <f t="shared" si="0"/>
        <v>6.93</v>
      </c>
    </row>
    <row r="25" spans="2:16" x14ac:dyDescent="0.25">
      <c r="B25" s="12" t="s">
        <v>34</v>
      </c>
      <c r="C25" s="13" t="s">
        <v>35</v>
      </c>
      <c r="D25" s="14" t="s">
        <v>27</v>
      </c>
      <c r="E25" s="14" t="s">
        <v>16</v>
      </c>
      <c r="F25" s="15">
        <v>43612</v>
      </c>
      <c r="G25" s="16">
        <v>2.2000000000000002</v>
      </c>
      <c r="H25" s="15"/>
      <c r="I25" s="16"/>
      <c r="J25" s="15"/>
      <c r="K25" s="16"/>
      <c r="L25" s="15"/>
      <c r="M25" s="63"/>
      <c r="N25" s="17"/>
      <c r="O25" s="16"/>
      <c r="P25" s="18">
        <f t="shared" si="0"/>
        <v>2.2000000000000002</v>
      </c>
    </row>
    <row r="26" spans="2:16" x14ac:dyDescent="0.25">
      <c r="B26" s="12" t="s">
        <v>36</v>
      </c>
      <c r="C26" s="13" t="s">
        <v>37</v>
      </c>
      <c r="D26" s="14" t="s">
        <v>15</v>
      </c>
      <c r="E26" s="14" t="s">
        <v>16</v>
      </c>
      <c r="F26" s="15">
        <v>43567</v>
      </c>
      <c r="G26" s="16">
        <v>0.7</v>
      </c>
      <c r="H26" s="15">
        <v>43717</v>
      </c>
      <c r="I26" s="16">
        <v>0.3</v>
      </c>
      <c r="J26" s="15"/>
      <c r="K26" s="16"/>
      <c r="L26" s="15"/>
      <c r="M26" s="63"/>
      <c r="N26" s="17"/>
      <c r="O26" s="16"/>
      <c r="P26" s="18">
        <f t="shared" si="0"/>
        <v>1</v>
      </c>
    </row>
    <row r="27" spans="2:16" x14ac:dyDescent="0.25">
      <c r="B27" s="12" t="s">
        <v>41</v>
      </c>
      <c r="C27" s="13" t="s">
        <v>42</v>
      </c>
      <c r="D27" s="14" t="s">
        <v>24</v>
      </c>
      <c r="E27" s="14" t="s">
        <v>16</v>
      </c>
      <c r="F27" s="29">
        <v>43605</v>
      </c>
      <c r="G27" s="71">
        <f>2.65*0.90909091</f>
        <v>2.4090909114999999</v>
      </c>
      <c r="H27" s="15"/>
      <c r="I27" s="16"/>
      <c r="J27" s="15"/>
      <c r="K27" s="16"/>
      <c r="L27" s="15"/>
      <c r="M27" s="63"/>
      <c r="N27" s="17"/>
      <c r="O27" s="16"/>
      <c r="P27" s="18">
        <f t="shared" si="0"/>
        <v>2.4090909114999999</v>
      </c>
    </row>
    <row r="28" spans="2:16" x14ac:dyDescent="0.25">
      <c r="B28" s="12" t="s">
        <v>43</v>
      </c>
      <c r="C28" s="13" t="s">
        <v>44</v>
      </c>
      <c r="D28" s="14" t="s">
        <v>24</v>
      </c>
      <c r="E28" s="14" t="s">
        <v>16</v>
      </c>
      <c r="F28" s="15">
        <v>43205</v>
      </c>
      <c r="G28" s="16">
        <v>1.65</v>
      </c>
      <c r="H28" s="15"/>
      <c r="I28" s="16"/>
      <c r="J28" s="15"/>
      <c r="K28" s="16"/>
      <c r="L28" s="15"/>
      <c r="M28" s="63"/>
      <c r="N28" s="17"/>
      <c r="O28" s="16"/>
      <c r="P28" s="18">
        <f t="shared" si="0"/>
        <v>1.65</v>
      </c>
    </row>
    <row r="29" spans="2:16" x14ac:dyDescent="0.25">
      <c r="B29" s="12" t="s">
        <v>45</v>
      </c>
      <c r="C29" s="13" t="s">
        <v>46</v>
      </c>
      <c r="D29" s="14" t="s">
        <v>15</v>
      </c>
      <c r="E29" s="14" t="s">
        <v>16</v>
      </c>
      <c r="F29" s="15"/>
      <c r="G29" s="16"/>
      <c r="H29" s="15"/>
      <c r="I29" s="16"/>
      <c r="J29" s="15"/>
      <c r="K29" s="16"/>
      <c r="L29" s="15"/>
      <c r="M29" s="63"/>
      <c r="N29" s="17"/>
      <c r="O29" s="16"/>
      <c r="P29" s="18">
        <f t="shared" si="0"/>
        <v>0</v>
      </c>
    </row>
    <row r="30" spans="2:16" x14ac:dyDescent="0.25">
      <c r="B30" s="12" t="s">
        <v>47</v>
      </c>
      <c r="C30" s="13" t="s">
        <v>48</v>
      </c>
      <c r="D30" s="14" t="s">
        <v>15</v>
      </c>
      <c r="E30" s="14" t="s">
        <v>16</v>
      </c>
      <c r="F30" s="15">
        <v>43594</v>
      </c>
      <c r="G30" s="16">
        <v>9</v>
      </c>
      <c r="H30" s="15"/>
      <c r="I30" s="16"/>
      <c r="J30" s="15"/>
      <c r="K30" s="16"/>
      <c r="L30" s="15"/>
      <c r="M30" s="63"/>
      <c r="N30" s="17"/>
      <c r="O30" s="16"/>
      <c r="P30" s="18">
        <f t="shared" si="0"/>
        <v>9</v>
      </c>
    </row>
    <row r="31" spans="2:16" x14ac:dyDescent="0.25">
      <c r="B31" s="12" t="s">
        <v>49</v>
      </c>
      <c r="C31" s="13" t="s">
        <v>50</v>
      </c>
      <c r="D31" s="14" t="s">
        <v>24</v>
      </c>
      <c r="E31" s="14" t="s">
        <v>16</v>
      </c>
      <c r="F31" s="15"/>
      <c r="G31" s="16"/>
      <c r="H31" s="15"/>
      <c r="I31" s="16"/>
      <c r="J31" s="15"/>
      <c r="K31" s="16"/>
      <c r="L31" s="15"/>
      <c r="M31" s="63"/>
      <c r="N31" s="17"/>
      <c r="O31" s="16"/>
      <c r="P31" s="18">
        <f t="shared" si="0"/>
        <v>0</v>
      </c>
    </row>
    <row r="32" spans="2:16" x14ac:dyDescent="0.25">
      <c r="B32" s="19" t="s">
        <v>554</v>
      </c>
      <c r="C32" s="20" t="s">
        <v>581</v>
      </c>
      <c r="D32" s="21" t="s">
        <v>55</v>
      </c>
      <c r="E32" s="22" t="s">
        <v>56</v>
      </c>
      <c r="F32" s="23">
        <v>43546</v>
      </c>
      <c r="G32" s="24">
        <v>0.8</v>
      </c>
      <c r="H32" s="23">
        <v>43629</v>
      </c>
      <c r="I32" s="24">
        <v>0.8</v>
      </c>
      <c r="J32" s="23">
        <v>43721</v>
      </c>
      <c r="K32" s="24">
        <v>0.84</v>
      </c>
      <c r="L32" s="23"/>
      <c r="M32" s="77"/>
      <c r="N32" s="25"/>
      <c r="O32" s="24"/>
      <c r="P32" s="26">
        <f t="shared" si="0"/>
        <v>2.44</v>
      </c>
    </row>
    <row r="33" spans="2:16" x14ac:dyDescent="0.25">
      <c r="B33" s="12" t="s">
        <v>51</v>
      </c>
      <c r="C33" s="13" t="s">
        <v>52</v>
      </c>
      <c r="D33" s="14" t="s">
        <v>15</v>
      </c>
      <c r="E33" s="14" t="s">
        <v>16</v>
      </c>
      <c r="F33" s="15">
        <v>43480</v>
      </c>
      <c r="G33" s="16">
        <v>0.51</v>
      </c>
      <c r="H33" s="15">
        <v>43656</v>
      </c>
      <c r="I33" s="16">
        <v>0.66500000000000004</v>
      </c>
      <c r="J33" s="15"/>
      <c r="K33" s="16"/>
      <c r="L33" s="15"/>
      <c r="M33" s="63"/>
      <c r="N33" s="17"/>
      <c r="O33" s="16"/>
      <c r="P33" s="18">
        <f t="shared" si="0"/>
        <v>1.175</v>
      </c>
    </row>
    <row r="34" spans="2:16" x14ac:dyDescent="0.25">
      <c r="B34" s="19" t="s">
        <v>53</v>
      </c>
      <c r="C34" s="20" t="s">
        <v>54</v>
      </c>
      <c r="D34" s="21" t="s">
        <v>55</v>
      </c>
      <c r="E34" s="22" t="s">
        <v>56</v>
      </c>
      <c r="F34" s="23"/>
      <c r="G34" s="24"/>
      <c r="H34" s="23"/>
      <c r="I34" s="24"/>
      <c r="J34" s="23"/>
      <c r="K34" s="24"/>
      <c r="L34" s="23"/>
      <c r="M34" s="77"/>
      <c r="N34" s="25"/>
      <c r="O34" s="24"/>
      <c r="P34" s="26">
        <f t="shared" si="0"/>
        <v>0</v>
      </c>
    </row>
    <row r="35" spans="2:16" x14ac:dyDescent="0.25">
      <c r="B35" s="19" t="s">
        <v>556</v>
      </c>
      <c r="C35" s="20" t="s">
        <v>583</v>
      </c>
      <c r="D35" s="21" t="s">
        <v>55</v>
      </c>
      <c r="E35" s="22" t="s">
        <v>56</v>
      </c>
      <c r="F35" s="23">
        <v>43510</v>
      </c>
      <c r="G35" s="24">
        <v>1.45</v>
      </c>
      <c r="H35" s="23">
        <v>43601</v>
      </c>
      <c r="I35" s="24">
        <v>1.45</v>
      </c>
      <c r="J35" s="23">
        <v>43691</v>
      </c>
      <c r="K35" s="24">
        <v>1.45</v>
      </c>
      <c r="L35" s="23"/>
      <c r="M35" s="77"/>
      <c r="N35" s="25"/>
      <c r="O35" s="24"/>
      <c r="P35" s="26">
        <f t="shared" si="0"/>
        <v>4.3499999999999996</v>
      </c>
    </row>
    <row r="36" spans="2:16" x14ac:dyDescent="0.25">
      <c r="B36" s="12" t="s">
        <v>57</v>
      </c>
      <c r="C36" s="13" t="s">
        <v>58</v>
      </c>
      <c r="D36" s="14" t="s">
        <v>15</v>
      </c>
      <c r="E36" s="14" t="s">
        <v>56</v>
      </c>
      <c r="F36" s="15">
        <v>43538</v>
      </c>
      <c r="G36" s="16">
        <v>0.51</v>
      </c>
      <c r="H36" s="15">
        <v>43692</v>
      </c>
      <c r="I36" s="16">
        <v>0.62</v>
      </c>
      <c r="J36" s="15"/>
      <c r="K36" s="16"/>
      <c r="L36" s="15"/>
      <c r="M36" s="63"/>
      <c r="N36" s="17"/>
      <c r="O36" s="16"/>
      <c r="P36" s="18">
        <f t="shared" si="0"/>
        <v>1.1299999999999999</v>
      </c>
    </row>
    <row r="37" spans="2:16" x14ac:dyDescent="0.25">
      <c r="B37" s="12" t="s">
        <v>59</v>
      </c>
      <c r="C37" s="13" t="s">
        <v>60</v>
      </c>
      <c r="D37" s="14" t="s">
        <v>27</v>
      </c>
      <c r="E37" s="14" t="s">
        <v>16</v>
      </c>
      <c r="F37" s="15">
        <v>43592</v>
      </c>
      <c r="G37" s="16">
        <v>1</v>
      </c>
      <c r="H37" s="15"/>
      <c r="I37" s="16"/>
      <c r="J37" s="15"/>
      <c r="K37" s="16"/>
      <c r="L37" s="15"/>
      <c r="M37" s="63"/>
      <c r="N37" s="17"/>
      <c r="O37" s="16"/>
      <c r="P37" s="18">
        <f t="shared" si="0"/>
        <v>1</v>
      </c>
    </row>
    <row r="38" spans="2:16" x14ac:dyDescent="0.25">
      <c r="B38" s="19" t="s">
        <v>61</v>
      </c>
      <c r="C38" s="20" t="s">
        <v>62</v>
      </c>
      <c r="D38" s="21" t="s">
        <v>55</v>
      </c>
      <c r="E38" s="22" t="s">
        <v>56</v>
      </c>
      <c r="F38" s="23">
        <v>43504</v>
      </c>
      <c r="G38" s="24">
        <v>0.73</v>
      </c>
      <c r="H38" s="23">
        <v>43595</v>
      </c>
      <c r="I38" s="24">
        <v>0.77</v>
      </c>
      <c r="J38" s="23">
        <v>43717</v>
      </c>
      <c r="K38" s="24">
        <v>0.77</v>
      </c>
      <c r="L38" s="23">
        <v>43776</v>
      </c>
      <c r="M38" s="24">
        <v>0.77</v>
      </c>
      <c r="N38" s="25"/>
      <c r="O38" s="24"/>
      <c r="P38" s="26">
        <f t="shared" si="0"/>
        <v>3.04</v>
      </c>
    </row>
    <row r="39" spans="2:16" x14ac:dyDescent="0.25">
      <c r="B39" s="12" t="s">
        <v>63</v>
      </c>
      <c r="C39" s="13" t="s">
        <v>64</v>
      </c>
      <c r="D39" s="14" t="s">
        <v>15</v>
      </c>
      <c r="E39" s="14" t="s">
        <v>16</v>
      </c>
      <c r="F39" s="15">
        <v>43601</v>
      </c>
      <c r="G39" s="27">
        <v>0.17879999999999999</v>
      </c>
      <c r="H39" s="15"/>
      <c r="I39" s="27"/>
      <c r="J39" s="15"/>
      <c r="K39" s="16"/>
      <c r="L39" s="15"/>
      <c r="M39" s="63"/>
      <c r="N39" s="17"/>
      <c r="O39" s="16"/>
      <c r="P39" s="18">
        <f t="shared" si="0"/>
        <v>0.17879999999999999</v>
      </c>
    </row>
    <row r="40" spans="2:16" x14ac:dyDescent="0.25">
      <c r="B40" s="12" t="s">
        <v>65</v>
      </c>
      <c r="C40" s="13" t="s">
        <v>66</v>
      </c>
      <c r="D40" s="14" t="s">
        <v>15</v>
      </c>
      <c r="E40" s="14" t="s">
        <v>16</v>
      </c>
      <c r="F40" s="15">
        <v>43581</v>
      </c>
      <c r="G40" s="16">
        <v>2.1</v>
      </c>
      <c r="H40" s="15">
        <v>43773</v>
      </c>
      <c r="I40" s="16">
        <v>1.05</v>
      </c>
      <c r="J40" s="15"/>
      <c r="K40" s="16"/>
      <c r="L40" s="15"/>
      <c r="M40" s="63"/>
      <c r="N40" s="17"/>
      <c r="O40" s="16"/>
      <c r="P40" s="18">
        <f t="shared" si="0"/>
        <v>3.1500000000000004</v>
      </c>
    </row>
    <row r="41" spans="2:16" x14ac:dyDescent="0.25">
      <c r="B41" s="12" t="s">
        <v>67</v>
      </c>
      <c r="C41" s="13" t="s">
        <v>68</v>
      </c>
      <c r="D41" s="14" t="s">
        <v>15</v>
      </c>
      <c r="E41" s="14" t="s">
        <v>16</v>
      </c>
      <c r="F41" s="15">
        <v>43605</v>
      </c>
      <c r="G41" s="16">
        <v>0.9</v>
      </c>
      <c r="H41" s="15"/>
      <c r="I41" s="16"/>
      <c r="J41" s="15"/>
      <c r="K41" s="16"/>
      <c r="L41" s="15"/>
      <c r="M41" s="63"/>
      <c r="N41" s="17"/>
      <c r="O41" s="16"/>
      <c r="P41" s="18">
        <f t="shared" si="0"/>
        <v>0.9</v>
      </c>
    </row>
    <row r="42" spans="2:16" x14ac:dyDescent="0.25">
      <c r="B42" s="12" t="s">
        <v>69</v>
      </c>
      <c r="C42" s="13" t="s">
        <v>70</v>
      </c>
      <c r="D42" s="14" t="s">
        <v>15</v>
      </c>
      <c r="E42" s="14" t="s">
        <v>56</v>
      </c>
      <c r="F42" s="15">
        <v>43524</v>
      </c>
      <c r="G42" s="28">
        <v>1.9</v>
      </c>
      <c r="H42" s="15">
        <v>43685</v>
      </c>
      <c r="I42" s="16">
        <v>0.9</v>
      </c>
      <c r="J42" s="15"/>
      <c r="K42" s="16"/>
      <c r="L42" s="15"/>
      <c r="M42" s="63"/>
      <c r="N42" s="17"/>
      <c r="O42" s="16"/>
      <c r="P42" s="18">
        <f t="shared" si="0"/>
        <v>2.8</v>
      </c>
    </row>
    <row r="43" spans="2:16" x14ac:dyDescent="0.25">
      <c r="B43" s="19" t="s">
        <v>71</v>
      </c>
      <c r="C43" s="20" t="s">
        <v>72</v>
      </c>
      <c r="D43" s="21" t="s">
        <v>55</v>
      </c>
      <c r="E43" s="22" t="s">
        <v>56</v>
      </c>
      <c r="F43" s="23">
        <v>43199</v>
      </c>
      <c r="G43" s="24">
        <v>0.51</v>
      </c>
      <c r="H43" s="23">
        <v>43655</v>
      </c>
      <c r="I43" s="24">
        <v>0.51</v>
      </c>
      <c r="J43" s="23">
        <v>43747</v>
      </c>
      <c r="K43" s="24">
        <v>0.51</v>
      </c>
      <c r="L43" s="23"/>
      <c r="M43" s="77"/>
      <c r="N43" s="25"/>
      <c r="O43" s="24"/>
      <c r="P43" s="26">
        <f t="shared" si="0"/>
        <v>1.53</v>
      </c>
    </row>
    <row r="44" spans="2:16" x14ac:dyDescent="0.25">
      <c r="B44" s="12" t="s">
        <v>73</v>
      </c>
      <c r="C44" s="13" t="s">
        <v>74</v>
      </c>
      <c r="D44" s="14" t="s">
        <v>15</v>
      </c>
      <c r="E44" s="14" t="s">
        <v>16</v>
      </c>
      <c r="F44" s="15">
        <v>43605</v>
      </c>
      <c r="G44" s="16">
        <v>0.9</v>
      </c>
      <c r="H44" s="15"/>
      <c r="I44" s="16"/>
      <c r="J44" s="15"/>
      <c r="K44" s="16"/>
      <c r="L44" s="15"/>
      <c r="M44" s="63"/>
      <c r="N44" s="17"/>
      <c r="O44" s="16"/>
      <c r="P44" s="18">
        <f t="shared" si="0"/>
        <v>0.9</v>
      </c>
    </row>
    <row r="45" spans="2:16" x14ac:dyDescent="0.25">
      <c r="B45" s="12" t="s">
        <v>75</v>
      </c>
      <c r="C45" s="13" t="s">
        <v>76</v>
      </c>
      <c r="D45" s="14" t="s">
        <v>15</v>
      </c>
      <c r="E45" s="14" t="s">
        <v>77</v>
      </c>
      <c r="F45" s="15">
        <v>43566</v>
      </c>
      <c r="G45" s="16">
        <v>20.75</v>
      </c>
      <c r="H45" s="15">
        <v>43692</v>
      </c>
      <c r="I45" s="16">
        <v>9.5</v>
      </c>
      <c r="J45" s="15"/>
      <c r="K45" s="16"/>
      <c r="L45" s="15"/>
      <c r="M45" s="63"/>
      <c r="N45" s="17"/>
      <c r="O45" s="16"/>
      <c r="P45" s="18">
        <f t="shared" si="0"/>
        <v>30.25</v>
      </c>
    </row>
    <row r="46" spans="2:16" x14ac:dyDescent="0.25">
      <c r="B46" s="12" t="s">
        <v>78</v>
      </c>
      <c r="C46" s="13" t="s">
        <v>79</v>
      </c>
      <c r="D46" s="14" t="s">
        <v>24</v>
      </c>
      <c r="E46" s="14" t="s">
        <v>16</v>
      </c>
      <c r="F46" s="15">
        <v>43587</v>
      </c>
      <c r="G46" s="16">
        <v>1.34</v>
      </c>
      <c r="H46" s="15"/>
      <c r="I46" s="16"/>
      <c r="J46" s="15"/>
      <c r="K46" s="16"/>
      <c r="L46" s="15"/>
      <c r="M46" s="63"/>
      <c r="N46" s="17"/>
      <c r="O46" s="16"/>
      <c r="P46" s="18">
        <f t="shared" si="0"/>
        <v>1.34</v>
      </c>
    </row>
    <row r="47" spans="2:16" x14ac:dyDescent="0.25">
      <c r="B47" s="12" t="s">
        <v>80</v>
      </c>
      <c r="C47" s="13" t="s">
        <v>81</v>
      </c>
      <c r="D47" s="14" t="s">
        <v>15</v>
      </c>
      <c r="E47" s="14" t="s">
        <v>16</v>
      </c>
      <c r="F47" s="15">
        <v>43605</v>
      </c>
      <c r="G47" s="16">
        <v>1.5</v>
      </c>
      <c r="H47" s="15"/>
      <c r="I47" s="16"/>
      <c r="J47" s="15"/>
      <c r="K47" s="16"/>
      <c r="L47" s="15"/>
      <c r="M47" s="63"/>
      <c r="N47" s="17"/>
      <c r="O47" s="16"/>
      <c r="P47" s="18">
        <f t="shared" si="0"/>
        <v>1.5</v>
      </c>
    </row>
    <row r="48" spans="2:16" x14ac:dyDescent="0.25">
      <c r="B48" s="12" t="s">
        <v>82</v>
      </c>
      <c r="C48" s="13" t="s">
        <v>83</v>
      </c>
      <c r="D48" s="14" t="s">
        <v>15</v>
      </c>
      <c r="E48" s="14" t="s">
        <v>77</v>
      </c>
      <c r="F48" s="15">
        <v>43573</v>
      </c>
      <c r="G48" s="16">
        <v>13.2</v>
      </c>
      <c r="H48" s="15">
        <v>43755</v>
      </c>
      <c r="I48" s="16">
        <v>9.4</v>
      </c>
      <c r="J48" s="15"/>
      <c r="K48" s="16"/>
      <c r="L48" s="15"/>
      <c r="M48" s="63"/>
      <c r="N48" s="17"/>
      <c r="O48" s="16"/>
      <c r="P48" s="18">
        <f t="shared" si="0"/>
        <v>22.6</v>
      </c>
    </row>
    <row r="49" spans="2:16" x14ac:dyDescent="0.25">
      <c r="B49" s="12" t="s">
        <v>84</v>
      </c>
      <c r="C49" s="13" t="s">
        <v>85</v>
      </c>
      <c r="D49" s="14" t="s">
        <v>15</v>
      </c>
      <c r="E49" s="14" t="s">
        <v>16</v>
      </c>
      <c r="F49" s="15">
        <v>43578</v>
      </c>
      <c r="G49" s="16">
        <v>0.2</v>
      </c>
      <c r="H49" s="15"/>
      <c r="I49" s="16"/>
      <c r="J49" s="15"/>
      <c r="K49" s="16"/>
      <c r="L49" s="15"/>
      <c r="M49" s="63"/>
      <c r="N49" s="17"/>
      <c r="O49" s="16"/>
      <c r="P49" s="18">
        <f t="shared" si="0"/>
        <v>0.2</v>
      </c>
    </row>
    <row r="50" spans="2:16" x14ac:dyDescent="0.25">
      <c r="B50" s="12" t="s">
        <v>86</v>
      </c>
      <c r="C50" s="13" t="s">
        <v>87</v>
      </c>
      <c r="D50" s="14" t="s">
        <v>15</v>
      </c>
      <c r="E50" s="14" t="s">
        <v>16</v>
      </c>
      <c r="F50" s="15">
        <v>43563</v>
      </c>
      <c r="G50" s="16">
        <v>0.16</v>
      </c>
      <c r="H50" s="15">
        <v>43749</v>
      </c>
      <c r="I50" s="16">
        <v>0.1</v>
      </c>
      <c r="J50" s="15"/>
      <c r="K50" s="16"/>
      <c r="L50" s="15"/>
      <c r="M50" s="63"/>
      <c r="N50" s="17"/>
      <c r="O50" s="16"/>
      <c r="P50" s="18">
        <f t="shared" si="0"/>
        <v>0.26</v>
      </c>
    </row>
    <row r="51" spans="2:16" x14ac:dyDescent="0.25">
      <c r="B51" s="12" t="s">
        <v>88</v>
      </c>
      <c r="C51" s="13" t="s">
        <v>89</v>
      </c>
      <c r="D51" s="14" t="s">
        <v>15</v>
      </c>
      <c r="E51" s="14" t="s">
        <v>16</v>
      </c>
      <c r="F51" s="15"/>
      <c r="G51" s="16"/>
      <c r="H51" s="15"/>
      <c r="I51" s="16"/>
      <c r="J51" s="15"/>
      <c r="K51" s="16"/>
      <c r="L51" s="15"/>
      <c r="M51" s="63"/>
      <c r="N51" s="17"/>
      <c r="O51" s="16"/>
      <c r="P51" s="18">
        <f t="shared" si="0"/>
        <v>0</v>
      </c>
    </row>
    <row r="52" spans="2:16" x14ac:dyDescent="0.25">
      <c r="B52" s="12" t="s">
        <v>90</v>
      </c>
      <c r="C52" s="13" t="s">
        <v>91</v>
      </c>
      <c r="D52" s="14" t="s">
        <v>15</v>
      </c>
      <c r="E52" s="14" t="s">
        <v>16</v>
      </c>
      <c r="F52" s="15">
        <v>43495</v>
      </c>
      <c r="G52" s="16">
        <v>6.5000000000000002E-2</v>
      </c>
      <c r="H52" s="15">
        <v>43584</v>
      </c>
      <c r="I52" s="16">
        <v>6.5000000000000002E-2</v>
      </c>
      <c r="J52" s="15">
        <v>43768</v>
      </c>
      <c r="K52" s="16">
        <v>0.1</v>
      </c>
      <c r="L52" s="15"/>
      <c r="M52" s="16"/>
      <c r="N52" s="17"/>
      <c r="O52" s="16"/>
      <c r="P52" s="18">
        <f t="shared" si="0"/>
        <v>0.23</v>
      </c>
    </row>
    <row r="53" spans="2:16" x14ac:dyDescent="0.25">
      <c r="B53" s="19" t="s">
        <v>112</v>
      </c>
      <c r="C53" s="20" t="s">
        <v>113</v>
      </c>
      <c r="D53" s="21" t="s">
        <v>55</v>
      </c>
      <c r="E53" s="22" t="s">
        <v>56</v>
      </c>
      <c r="F53" s="23">
        <v>43524</v>
      </c>
      <c r="G53" s="24">
        <v>0.15</v>
      </c>
      <c r="H53" s="23">
        <v>43622</v>
      </c>
      <c r="I53" s="24">
        <v>0.15</v>
      </c>
      <c r="J53" s="23">
        <v>43713</v>
      </c>
      <c r="K53" s="24">
        <v>0.18</v>
      </c>
      <c r="L53" s="23"/>
      <c r="M53" s="77"/>
      <c r="N53" s="25"/>
      <c r="O53" s="24"/>
      <c r="P53" s="26">
        <f t="shared" si="0"/>
        <v>0.48</v>
      </c>
    </row>
    <row r="54" spans="2:16" x14ac:dyDescent="0.25">
      <c r="B54" s="12" t="s">
        <v>92</v>
      </c>
      <c r="C54" s="13" t="s">
        <v>93</v>
      </c>
      <c r="D54" s="14" t="s">
        <v>15</v>
      </c>
      <c r="E54" s="14" t="s">
        <v>16</v>
      </c>
      <c r="F54" s="15">
        <v>43564</v>
      </c>
      <c r="G54" s="16">
        <v>0.11576</v>
      </c>
      <c r="H54" s="15"/>
      <c r="I54" s="16"/>
      <c r="J54" s="15"/>
      <c r="K54" s="16"/>
      <c r="L54" s="15"/>
      <c r="M54" s="63"/>
      <c r="N54" s="17"/>
      <c r="O54" s="16"/>
      <c r="P54" s="18">
        <f t="shared" si="0"/>
        <v>0.11576</v>
      </c>
    </row>
    <row r="55" spans="2:16" x14ac:dyDescent="0.25">
      <c r="B55" s="12" t="s">
        <v>94</v>
      </c>
      <c r="C55" s="13" t="s">
        <v>95</v>
      </c>
      <c r="D55" s="14" t="s">
        <v>15</v>
      </c>
      <c r="E55" s="14" t="s">
        <v>16</v>
      </c>
      <c r="F55" s="15">
        <v>43458</v>
      </c>
      <c r="G55" s="16">
        <v>6.4801999999999998E-2</v>
      </c>
      <c r="H55" s="15">
        <v>43550</v>
      </c>
      <c r="I55" s="16">
        <v>9.9274000000000001E-2</v>
      </c>
      <c r="J55" s="15">
        <v>43640</v>
      </c>
      <c r="K55" s="16">
        <v>6.6692000000000001E-2</v>
      </c>
      <c r="L55" s="15">
        <v>43731</v>
      </c>
      <c r="M55" s="63">
        <v>6.3718999999999998E-2</v>
      </c>
      <c r="N55" s="17"/>
      <c r="O55" s="16"/>
      <c r="P55" s="18">
        <f t="shared" si="0"/>
        <v>0.294487</v>
      </c>
    </row>
    <row r="56" spans="2:16" x14ac:dyDescent="0.25">
      <c r="B56" s="12" t="s">
        <v>96</v>
      </c>
      <c r="C56" s="13" t="s">
        <v>97</v>
      </c>
      <c r="D56" s="14" t="s">
        <v>15</v>
      </c>
      <c r="E56" s="14" t="s">
        <v>77</v>
      </c>
      <c r="F56" s="15">
        <v>43524</v>
      </c>
      <c r="G56" s="16">
        <v>4</v>
      </c>
      <c r="H56" s="15">
        <v>43685</v>
      </c>
      <c r="I56" s="16">
        <v>3</v>
      </c>
      <c r="J56" s="15"/>
      <c r="K56" s="16"/>
      <c r="L56" s="15"/>
      <c r="M56" s="63"/>
      <c r="N56" s="17"/>
      <c r="O56" s="16"/>
      <c r="P56" s="18">
        <f t="shared" si="0"/>
        <v>7</v>
      </c>
    </row>
    <row r="57" spans="2:16" x14ac:dyDescent="0.25">
      <c r="B57" s="12" t="s">
        <v>98</v>
      </c>
      <c r="C57" s="13" t="s">
        <v>99</v>
      </c>
      <c r="D57" s="14" t="s">
        <v>15</v>
      </c>
      <c r="E57" s="14" t="s">
        <v>16</v>
      </c>
      <c r="F57" s="15">
        <v>43591</v>
      </c>
      <c r="G57" s="16">
        <v>3.2</v>
      </c>
      <c r="H57" s="15"/>
      <c r="I57" s="16"/>
      <c r="J57" s="15"/>
      <c r="K57" s="16"/>
      <c r="L57" s="15"/>
      <c r="M57" s="63"/>
      <c r="N57" s="17"/>
      <c r="O57" s="16"/>
      <c r="P57" s="18">
        <f t="shared" si="0"/>
        <v>3.2</v>
      </c>
    </row>
    <row r="58" spans="2:16" x14ac:dyDescent="0.25">
      <c r="B58" s="12" t="s">
        <v>100</v>
      </c>
      <c r="C58" s="13" t="s">
        <v>101</v>
      </c>
      <c r="D58" s="14" t="s">
        <v>15</v>
      </c>
      <c r="E58" s="14" t="s">
        <v>16</v>
      </c>
      <c r="F58" s="15">
        <v>43584</v>
      </c>
      <c r="G58" s="16">
        <v>2.8</v>
      </c>
      <c r="H58" s="15"/>
      <c r="I58" s="16"/>
      <c r="J58" s="15"/>
      <c r="K58" s="16"/>
      <c r="L58" s="15"/>
      <c r="M58" s="63"/>
      <c r="N58" s="17"/>
      <c r="O58" s="16"/>
      <c r="P58" s="18">
        <f t="shared" si="0"/>
        <v>2.8</v>
      </c>
    </row>
    <row r="59" spans="2:16" x14ac:dyDescent="0.25">
      <c r="B59" s="12" t="s">
        <v>102</v>
      </c>
      <c r="C59" s="13" t="s">
        <v>103</v>
      </c>
      <c r="D59" s="14" t="s">
        <v>27</v>
      </c>
      <c r="E59" s="14" t="s">
        <v>16</v>
      </c>
      <c r="F59" s="15">
        <v>43593</v>
      </c>
      <c r="G59" s="16">
        <v>0.86</v>
      </c>
      <c r="H59" s="15"/>
      <c r="I59" s="16"/>
      <c r="J59" s="15"/>
      <c r="K59" s="16"/>
      <c r="L59" s="15"/>
      <c r="M59" s="63"/>
      <c r="N59" s="17"/>
      <c r="O59" s="16"/>
      <c r="P59" s="18">
        <f t="shared" si="0"/>
        <v>0.86</v>
      </c>
    </row>
    <row r="60" spans="2:16" x14ac:dyDescent="0.25">
      <c r="B60" s="12" t="s">
        <v>104</v>
      </c>
      <c r="C60" s="13" t="s">
        <v>105</v>
      </c>
      <c r="D60" s="14" t="s">
        <v>27</v>
      </c>
      <c r="E60" s="14" t="s">
        <v>16</v>
      </c>
      <c r="F60" s="15">
        <v>43594</v>
      </c>
      <c r="G60" s="16">
        <v>0.7</v>
      </c>
      <c r="H60" s="15"/>
      <c r="I60" s="16"/>
      <c r="J60" s="15"/>
      <c r="K60" s="16"/>
      <c r="L60" s="15"/>
      <c r="M60" s="63"/>
      <c r="N60" s="17"/>
      <c r="O60" s="16"/>
      <c r="P60" s="18">
        <f t="shared" si="0"/>
        <v>0.7</v>
      </c>
    </row>
    <row r="61" spans="2:16" x14ac:dyDescent="0.25">
      <c r="B61" s="12" t="s">
        <v>638</v>
      </c>
      <c r="C61" s="13" t="s">
        <v>107</v>
      </c>
      <c r="D61" s="14" t="s">
        <v>15</v>
      </c>
      <c r="E61" s="14" t="s">
        <v>56</v>
      </c>
      <c r="F61" s="15">
        <v>43531</v>
      </c>
      <c r="G61" s="16">
        <v>0.55000000000000004</v>
      </c>
      <c r="H61" s="15">
        <v>43713</v>
      </c>
      <c r="I61" s="16">
        <v>0.78</v>
      </c>
      <c r="J61" s="15"/>
      <c r="K61" s="16"/>
      <c r="L61" s="15"/>
      <c r="M61" s="63"/>
      <c r="N61" s="17"/>
      <c r="O61" s="16"/>
      <c r="P61" s="18">
        <f t="shared" si="0"/>
        <v>1.33</v>
      </c>
    </row>
    <row r="62" spans="2:16" x14ac:dyDescent="0.25">
      <c r="B62" s="12" t="s">
        <v>108</v>
      </c>
      <c r="C62" s="13" t="s">
        <v>109</v>
      </c>
      <c r="D62" s="14" t="s">
        <v>15</v>
      </c>
      <c r="E62" s="14" t="s">
        <v>16</v>
      </c>
      <c r="F62" s="15">
        <v>43602</v>
      </c>
      <c r="G62" s="16">
        <v>3.5</v>
      </c>
      <c r="H62" s="15"/>
      <c r="I62" s="16"/>
      <c r="J62" s="15"/>
      <c r="K62" s="16"/>
      <c r="L62" s="15"/>
      <c r="M62" s="63"/>
      <c r="N62" s="17"/>
      <c r="O62" s="16"/>
      <c r="P62" s="18">
        <f t="shared" si="0"/>
        <v>3.5</v>
      </c>
    </row>
    <row r="63" spans="2:16" x14ac:dyDescent="0.25">
      <c r="B63" s="12" t="s">
        <v>110</v>
      </c>
      <c r="C63" s="13" t="s">
        <v>111</v>
      </c>
      <c r="D63" s="14" t="s">
        <v>24</v>
      </c>
      <c r="E63" s="14" t="s">
        <v>16</v>
      </c>
      <c r="F63" s="15">
        <v>43614</v>
      </c>
      <c r="G63" s="16">
        <v>3.02</v>
      </c>
      <c r="H63" s="15"/>
      <c r="I63" s="16"/>
      <c r="J63" s="15"/>
      <c r="K63" s="16"/>
      <c r="L63" s="15"/>
      <c r="M63" s="63"/>
      <c r="N63" s="17"/>
      <c r="O63" s="16"/>
      <c r="P63" s="18">
        <f t="shared" si="0"/>
        <v>3.02</v>
      </c>
    </row>
    <row r="64" spans="2:16" x14ac:dyDescent="0.25">
      <c r="B64" s="19" t="s">
        <v>564</v>
      </c>
      <c r="C64" s="20" t="s">
        <v>591</v>
      </c>
      <c r="D64" s="21" t="s">
        <v>55</v>
      </c>
      <c r="E64" s="22" t="s">
        <v>56</v>
      </c>
      <c r="F64" s="23">
        <v>43503</v>
      </c>
      <c r="G64" s="24">
        <v>2.0550000000000002</v>
      </c>
      <c r="H64" s="23">
        <v>43594</v>
      </c>
      <c r="I64" s="24">
        <v>2.0550000000000002</v>
      </c>
      <c r="J64" s="23">
        <v>43685</v>
      </c>
      <c r="K64" s="24">
        <v>2.0550000000000002</v>
      </c>
      <c r="L64" s="23">
        <v>43776</v>
      </c>
      <c r="M64" s="24">
        <v>2.0550000000000002</v>
      </c>
      <c r="N64" s="25"/>
      <c r="O64" s="24"/>
      <c r="P64" s="26">
        <f t="shared" si="0"/>
        <v>8.2200000000000006</v>
      </c>
    </row>
    <row r="65" spans="2:16" x14ac:dyDescent="0.25">
      <c r="B65" s="12" t="s">
        <v>114</v>
      </c>
      <c r="C65" s="13" t="s">
        <v>115</v>
      </c>
      <c r="D65" s="14" t="s">
        <v>24</v>
      </c>
      <c r="E65" s="14" t="s">
        <v>16</v>
      </c>
      <c r="F65" s="15">
        <v>43620</v>
      </c>
      <c r="G65" s="16">
        <v>0.04</v>
      </c>
      <c r="H65" s="15">
        <v>43727</v>
      </c>
      <c r="I65" s="16">
        <v>0.02</v>
      </c>
      <c r="J65" s="15"/>
      <c r="K65" s="16"/>
      <c r="L65" s="15"/>
      <c r="M65" s="63"/>
      <c r="N65" s="17"/>
      <c r="O65" s="16"/>
      <c r="P65" s="18">
        <f t="shared" si="0"/>
        <v>0.06</v>
      </c>
    </row>
    <row r="66" spans="2:16" x14ac:dyDescent="0.25">
      <c r="B66" s="12" t="s">
        <v>116</v>
      </c>
      <c r="C66" s="13" t="s">
        <v>117</v>
      </c>
      <c r="D66" s="14" t="s">
        <v>15</v>
      </c>
      <c r="E66" s="14" t="s">
        <v>16</v>
      </c>
      <c r="F66" s="15">
        <v>43458</v>
      </c>
      <c r="G66" s="16">
        <v>0.6</v>
      </c>
      <c r="H66" s="15">
        <v>43593</v>
      </c>
      <c r="I66" s="16">
        <v>0.56999999999999995</v>
      </c>
      <c r="J66" s="15">
        <v>43719</v>
      </c>
      <c r="K66" s="16">
        <v>0.4</v>
      </c>
      <c r="L66" s="15"/>
      <c r="M66" s="63"/>
      <c r="N66" s="17"/>
      <c r="O66" s="16"/>
      <c r="P66" s="18">
        <f t="shared" si="0"/>
        <v>1.5699999999999998</v>
      </c>
    </row>
    <row r="67" spans="2:16" x14ac:dyDescent="0.25">
      <c r="B67" s="12" t="s">
        <v>118</v>
      </c>
      <c r="C67" s="13" t="s">
        <v>119</v>
      </c>
      <c r="D67" s="14" t="s">
        <v>15</v>
      </c>
      <c r="E67" s="14" t="s">
        <v>16</v>
      </c>
      <c r="F67" s="15">
        <v>43595</v>
      </c>
      <c r="G67" s="16">
        <v>0.5</v>
      </c>
      <c r="H67" s="15"/>
      <c r="I67" s="16"/>
      <c r="J67" s="15"/>
      <c r="K67" s="16"/>
      <c r="L67" s="15"/>
      <c r="M67" s="63"/>
      <c r="N67" s="17"/>
      <c r="O67" s="16"/>
      <c r="P67" s="18">
        <f t="shared" si="0"/>
        <v>0.5</v>
      </c>
    </row>
    <row r="68" spans="2:16" x14ac:dyDescent="0.25">
      <c r="B68" s="12" t="s">
        <v>120</v>
      </c>
      <c r="C68" s="13" t="s">
        <v>121</v>
      </c>
      <c r="D68" s="14" t="s">
        <v>24</v>
      </c>
      <c r="E68" s="14" t="s">
        <v>16</v>
      </c>
      <c r="F68" s="15">
        <v>43585</v>
      </c>
      <c r="G68" s="16">
        <v>1.7</v>
      </c>
      <c r="H68" s="15"/>
      <c r="I68" s="16"/>
      <c r="J68" s="15"/>
      <c r="K68" s="16"/>
      <c r="L68" s="15"/>
      <c r="M68" s="63"/>
      <c r="N68" s="17"/>
      <c r="O68" s="16"/>
      <c r="P68" s="18">
        <f t="shared" si="0"/>
        <v>1.7</v>
      </c>
    </row>
    <row r="69" spans="2:16" x14ac:dyDescent="0.25">
      <c r="B69" s="12" t="s">
        <v>122</v>
      </c>
      <c r="C69" s="13" t="s">
        <v>123</v>
      </c>
      <c r="D69" s="14" t="s">
        <v>15</v>
      </c>
      <c r="E69" s="14" t="s">
        <v>77</v>
      </c>
      <c r="F69" s="15">
        <v>43510</v>
      </c>
      <c r="G69" s="16">
        <v>7.74</v>
      </c>
      <c r="H69" s="15">
        <v>43594</v>
      </c>
      <c r="I69" s="16">
        <v>7.88</v>
      </c>
      <c r="J69" s="15">
        <v>43685</v>
      </c>
      <c r="K69" s="16">
        <v>8.3475000000000001</v>
      </c>
      <c r="L69" s="15">
        <v>43776</v>
      </c>
      <c r="M69" s="16">
        <v>7.9516</v>
      </c>
      <c r="N69" s="17"/>
      <c r="O69" s="16"/>
      <c r="P69" s="18">
        <f t="shared" si="0"/>
        <v>31.9191</v>
      </c>
    </row>
    <row r="70" spans="2:16" x14ac:dyDescent="0.25">
      <c r="B70" s="12" t="s">
        <v>124</v>
      </c>
      <c r="C70" s="13" t="s">
        <v>125</v>
      </c>
      <c r="D70" s="14" t="s">
        <v>15</v>
      </c>
      <c r="E70" s="14" t="s">
        <v>16</v>
      </c>
      <c r="F70" s="15">
        <v>43605</v>
      </c>
      <c r="G70" s="16">
        <v>0.13</v>
      </c>
      <c r="H70" s="15"/>
      <c r="I70" s="16"/>
      <c r="J70" s="15"/>
      <c r="K70" s="16"/>
      <c r="L70" s="15"/>
      <c r="M70" s="63"/>
      <c r="N70" s="17"/>
      <c r="O70" s="16"/>
      <c r="P70" s="18">
        <f t="shared" si="0"/>
        <v>0.13</v>
      </c>
    </row>
    <row r="71" spans="2:16" x14ac:dyDescent="0.25">
      <c r="B71" s="12" t="s">
        <v>126</v>
      </c>
      <c r="C71" s="13" t="s">
        <v>127</v>
      </c>
      <c r="D71" s="14" t="s">
        <v>27</v>
      </c>
      <c r="E71" s="14" t="s">
        <v>16</v>
      </c>
      <c r="F71" s="15">
        <v>43598</v>
      </c>
      <c r="G71" s="16">
        <v>0.25</v>
      </c>
      <c r="H71" s="15"/>
      <c r="I71" s="16"/>
      <c r="J71" s="15"/>
      <c r="K71" s="16"/>
      <c r="L71" s="15"/>
      <c r="M71" s="63"/>
      <c r="N71" s="17"/>
      <c r="O71" s="16"/>
      <c r="P71" s="18">
        <f t="shared" si="0"/>
        <v>0.25</v>
      </c>
    </row>
    <row r="72" spans="2:16" x14ac:dyDescent="0.25">
      <c r="B72" s="19" t="s">
        <v>566</v>
      </c>
      <c r="C72" s="20" t="s">
        <v>593</v>
      </c>
      <c r="D72" s="21" t="s">
        <v>55</v>
      </c>
      <c r="E72" s="22" t="s">
        <v>56</v>
      </c>
      <c r="F72" s="23">
        <v>43559</v>
      </c>
      <c r="G72" s="24">
        <v>0.41</v>
      </c>
      <c r="H72" s="23">
        <v>43649</v>
      </c>
      <c r="I72" s="24">
        <v>0.41</v>
      </c>
      <c r="J72" s="23">
        <v>43741</v>
      </c>
      <c r="K72" s="24">
        <v>0.41</v>
      </c>
      <c r="L72" s="23"/>
      <c r="M72" s="77"/>
      <c r="N72" s="25"/>
      <c r="O72" s="24"/>
      <c r="P72" s="26">
        <f t="shared" si="0"/>
        <v>1.23</v>
      </c>
    </row>
    <row r="73" spans="2:16" x14ac:dyDescent="0.25">
      <c r="B73" s="12" t="s">
        <v>128</v>
      </c>
      <c r="C73" s="13" t="s">
        <v>129</v>
      </c>
      <c r="D73" s="14" t="s">
        <v>15</v>
      </c>
      <c r="E73" s="14" t="s">
        <v>77</v>
      </c>
      <c r="F73" s="15">
        <v>43461</v>
      </c>
      <c r="G73" s="16">
        <v>48.8</v>
      </c>
      <c r="H73" s="15">
        <v>43545</v>
      </c>
      <c r="I73" s="16">
        <v>50.75</v>
      </c>
      <c r="J73" s="15">
        <v>43643</v>
      </c>
      <c r="K73" s="16">
        <v>50.75</v>
      </c>
      <c r="L73" s="15">
        <v>43741</v>
      </c>
      <c r="M73" s="63">
        <v>50.75</v>
      </c>
      <c r="N73" s="17"/>
      <c r="O73" s="16"/>
      <c r="P73" s="18">
        <f t="shared" si="0"/>
        <v>201.05</v>
      </c>
    </row>
    <row r="74" spans="2:16" x14ac:dyDescent="0.25">
      <c r="B74" s="19" t="s">
        <v>568</v>
      </c>
      <c r="C74" s="20" t="s">
        <v>595</v>
      </c>
      <c r="D74" s="21" t="s">
        <v>55</v>
      </c>
      <c r="E74" s="22" t="s">
        <v>56</v>
      </c>
      <c r="F74" s="23">
        <v>43544</v>
      </c>
      <c r="G74" s="24">
        <v>2.65</v>
      </c>
      <c r="H74" s="23">
        <v>43637</v>
      </c>
      <c r="I74" s="24">
        <v>2.65</v>
      </c>
      <c r="J74" s="23">
        <v>43728</v>
      </c>
      <c r="K74" s="24">
        <v>2.65</v>
      </c>
      <c r="L74" s="23"/>
      <c r="M74" s="77"/>
      <c r="N74" s="25"/>
      <c r="O74" s="24"/>
      <c r="P74" s="26">
        <f t="shared" si="0"/>
        <v>7.9499999999999993</v>
      </c>
    </row>
    <row r="75" spans="2:16" x14ac:dyDescent="0.25">
      <c r="B75" s="12" t="s">
        <v>130</v>
      </c>
      <c r="C75" s="13" t="s">
        <v>131</v>
      </c>
      <c r="D75" s="14" t="s">
        <v>15</v>
      </c>
      <c r="E75" s="14" t="s">
        <v>77</v>
      </c>
      <c r="F75" s="15">
        <v>43461</v>
      </c>
      <c r="G75" s="16">
        <v>4.62</v>
      </c>
      <c r="H75" s="15">
        <v>43685</v>
      </c>
      <c r="I75" s="16">
        <v>10.78</v>
      </c>
      <c r="J75" s="15"/>
      <c r="K75" s="16"/>
      <c r="L75" s="15"/>
      <c r="M75" s="63"/>
      <c r="N75" s="17"/>
      <c r="O75" s="16"/>
      <c r="P75" s="18">
        <f t="shared" si="0"/>
        <v>15.399999999999999</v>
      </c>
    </row>
    <row r="76" spans="2:16" x14ac:dyDescent="0.25">
      <c r="B76" s="12" t="s">
        <v>132</v>
      </c>
      <c r="C76" s="13" t="s">
        <v>133</v>
      </c>
      <c r="D76" s="14" t="s">
        <v>15</v>
      </c>
      <c r="E76" s="14" t="s">
        <v>16</v>
      </c>
      <c r="F76" s="15">
        <v>43566</v>
      </c>
      <c r="G76" s="16">
        <v>0.1</v>
      </c>
      <c r="H76" s="15"/>
      <c r="I76" s="16"/>
      <c r="J76" s="15"/>
      <c r="K76" s="16"/>
      <c r="L76" s="15"/>
      <c r="M76" s="63"/>
      <c r="N76" s="17"/>
      <c r="O76" s="16"/>
      <c r="P76" s="18">
        <f t="shared" si="0"/>
        <v>0.1</v>
      </c>
    </row>
    <row r="77" spans="2:16" x14ac:dyDescent="0.25">
      <c r="B77" s="12" t="s">
        <v>608</v>
      </c>
      <c r="C77" s="13" t="s">
        <v>134</v>
      </c>
      <c r="D77" s="14" t="s">
        <v>24</v>
      </c>
      <c r="E77" s="14" t="s">
        <v>16</v>
      </c>
      <c r="F77" s="15">
        <v>43621</v>
      </c>
      <c r="G77" s="16">
        <v>1.7</v>
      </c>
      <c r="H77" s="15"/>
      <c r="I77" s="16"/>
      <c r="J77" s="15"/>
      <c r="K77" s="16"/>
      <c r="L77" s="15"/>
      <c r="M77" s="63"/>
      <c r="N77" s="17"/>
      <c r="O77" s="16"/>
      <c r="P77" s="18">
        <f t="shared" si="0"/>
        <v>1.7</v>
      </c>
    </row>
    <row r="78" spans="2:16" x14ac:dyDescent="0.25">
      <c r="B78" s="12" t="s">
        <v>135</v>
      </c>
      <c r="C78" s="13" t="s">
        <v>136</v>
      </c>
      <c r="D78" s="14" t="s">
        <v>24</v>
      </c>
      <c r="E78" s="14" t="s">
        <v>16</v>
      </c>
      <c r="F78" s="15">
        <v>43636</v>
      </c>
      <c r="G78" s="16">
        <v>0.46</v>
      </c>
      <c r="H78" s="15"/>
      <c r="I78" s="16"/>
      <c r="J78" s="15"/>
      <c r="K78" s="16"/>
      <c r="L78" s="15"/>
      <c r="M78" s="63"/>
      <c r="N78" s="17"/>
      <c r="O78" s="16"/>
      <c r="P78" s="18">
        <f t="shared" ref="P78:P142" si="1">G78+I78+K78+M78+O78</f>
        <v>0.46</v>
      </c>
    </row>
    <row r="79" spans="2:16" x14ac:dyDescent="0.25">
      <c r="B79" s="12" t="s">
        <v>137</v>
      </c>
      <c r="C79" s="13" t="s">
        <v>138</v>
      </c>
      <c r="D79" s="14" t="s">
        <v>24</v>
      </c>
      <c r="E79" s="14" t="s">
        <v>16</v>
      </c>
      <c r="F79" s="15">
        <v>43594</v>
      </c>
      <c r="G79" s="16">
        <v>1.56</v>
      </c>
      <c r="H79" s="15"/>
      <c r="I79" s="16"/>
      <c r="J79" s="15"/>
      <c r="K79" s="16"/>
      <c r="L79" s="15"/>
      <c r="M79" s="63"/>
      <c r="N79" s="17"/>
      <c r="O79" s="16"/>
      <c r="P79" s="18">
        <f t="shared" si="1"/>
        <v>1.56</v>
      </c>
    </row>
    <row r="80" spans="2:16" x14ac:dyDescent="0.25">
      <c r="B80" s="12" t="s">
        <v>139</v>
      </c>
      <c r="C80" s="13" t="s">
        <v>140</v>
      </c>
      <c r="D80" s="14" t="s">
        <v>15</v>
      </c>
      <c r="E80" s="14" t="s">
        <v>77</v>
      </c>
      <c r="F80" s="15">
        <v>43594</v>
      </c>
      <c r="G80" s="16">
        <v>8.4</v>
      </c>
      <c r="H80" s="15">
        <v>43748</v>
      </c>
      <c r="I80" s="16">
        <v>1.5</v>
      </c>
      <c r="J80" s="15"/>
      <c r="K80" s="16"/>
      <c r="L80" s="15"/>
      <c r="M80" s="63"/>
      <c r="N80" s="17"/>
      <c r="O80" s="16"/>
      <c r="P80" s="18">
        <f t="shared" si="1"/>
        <v>9.9</v>
      </c>
    </row>
    <row r="81" spans="1:17" x14ac:dyDescent="0.25">
      <c r="B81" s="19" t="s">
        <v>141</v>
      </c>
      <c r="C81" s="20" t="s">
        <v>142</v>
      </c>
      <c r="D81" s="21" t="s">
        <v>55</v>
      </c>
      <c r="E81" s="22" t="s">
        <v>56</v>
      </c>
      <c r="F81" s="23">
        <v>43510</v>
      </c>
      <c r="G81" s="24">
        <v>1.19</v>
      </c>
      <c r="H81" s="23">
        <v>43601</v>
      </c>
      <c r="I81" s="24">
        <v>1.19</v>
      </c>
      <c r="J81" s="23">
        <v>43693</v>
      </c>
      <c r="K81" s="24">
        <v>1.19</v>
      </c>
      <c r="L81" s="23"/>
      <c r="M81" s="77"/>
      <c r="N81" s="25"/>
      <c r="O81" s="24"/>
      <c r="P81" s="26">
        <f t="shared" si="1"/>
        <v>3.57</v>
      </c>
    </row>
    <row r="82" spans="1:17" x14ac:dyDescent="0.25">
      <c r="B82" s="19" t="s">
        <v>143</v>
      </c>
      <c r="C82" s="20" t="s">
        <v>144</v>
      </c>
      <c r="D82" s="21" t="s">
        <v>55</v>
      </c>
      <c r="E82" s="22" t="s">
        <v>56</v>
      </c>
      <c r="F82" s="23">
        <v>43559</v>
      </c>
      <c r="G82" s="24">
        <v>0.35</v>
      </c>
      <c r="H82" s="23">
        <v>43649</v>
      </c>
      <c r="I82" s="24">
        <v>0.35</v>
      </c>
      <c r="J82" s="23">
        <v>43741</v>
      </c>
      <c r="K82" s="24">
        <v>0.35</v>
      </c>
      <c r="L82" s="23"/>
      <c r="M82" s="77"/>
      <c r="N82" s="25"/>
      <c r="O82" s="24"/>
      <c r="P82" s="26">
        <f t="shared" si="1"/>
        <v>1.0499999999999998</v>
      </c>
    </row>
    <row r="83" spans="1:17" x14ac:dyDescent="0.25">
      <c r="B83" s="19" t="s">
        <v>145</v>
      </c>
      <c r="C83" s="20" t="s">
        <v>146</v>
      </c>
      <c r="D83" s="21" t="s">
        <v>55</v>
      </c>
      <c r="E83" s="22" t="s">
        <v>56</v>
      </c>
      <c r="F83" s="23">
        <v>43497</v>
      </c>
      <c r="G83" s="24">
        <v>0.45</v>
      </c>
      <c r="H83" s="23">
        <v>43588</v>
      </c>
      <c r="I83" s="24">
        <v>0.45</v>
      </c>
      <c r="J83" s="23">
        <v>43679</v>
      </c>
      <c r="K83" s="24">
        <v>0.51</v>
      </c>
      <c r="L83" s="23">
        <v>43770</v>
      </c>
      <c r="M83" s="24">
        <v>0.51</v>
      </c>
      <c r="N83" s="25"/>
      <c r="O83" s="24"/>
      <c r="P83" s="26">
        <f t="shared" si="1"/>
        <v>1.9200000000000002</v>
      </c>
    </row>
    <row r="84" spans="1:17" x14ac:dyDescent="0.25">
      <c r="B84" s="19" t="s">
        <v>147</v>
      </c>
      <c r="C84" s="20" t="s">
        <v>148</v>
      </c>
      <c r="D84" s="21" t="s">
        <v>55</v>
      </c>
      <c r="E84" s="22" t="s">
        <v>56</v>
      </c>
      <c r="F84" s="23">
        <v>43531</v>
      </c>
      <c r="G84" s="24">
        <v>0.75</v>
      </c>
      <c r="H84" s="23">
        <v>43623</v>
      </c>
      <c r="I84" s="24">
        <v>0.75</v>
      </c>
      <c r="J84" s="23">
        <v>43717</v>
      </c>
      <c r="K84" s="24">
        <v>0.75</v>
      </c>
      <c r="L84" s="23"/>
      <c r="M84" s="77"/>
      <c r="N84" s="25"/>
      <c r="O84" s="24"/>
      <c r="P84" s="26">
        <f t="shared" si="1"/>
        <v>2.25</v>
      </c>
    </row>
    <row r="85" spans="1:17" x14ac:dyDescent="0.25">
      <c r="B85" s="19" t="s">
        <v>149</v>
      </c>
      <c r="C85" s="20" t="s">
        <v>150</v>
      </c>
      <c r="D85" s="21" t="s">
        <v>55</v>
      </c>
      <c r="E85" s="22" t="s">
        <v>56</v>
      </c>
      <c r="F85" s="23">
        <v>43538</v>
      </c>
      <c r="G85" s="24">
        <v>0.4</v>
      </c>
      <c r="H85" s="23">
        <v>43629</v>
      </c>
      <c r="I85" s="24">
        <v>0.4</v>
      </c>
      <c r="J85" s="23">
        <v>43721</v>
      </c>
      <c r="K85" s="24">
        <v>0.4</v>
      </c>
      <c r="L85" s="23"/>
      <c r="M85" s="77"/>
      <c r="N85" s="25"/>
      <c r="O85" s="24"/>
      <c r="P85" s="26">
        <f t="shared" si="1"/>
        <v>1.2000000000000002</v>
      </c>
    </row>
    <row r="86" spans="1:17" x14ac:dyDescent="0.25">
      <c r="B86" s="12" t="s">
        <v>151</v>
      </c>
      <c r="C86" s="13" t="s">
        <v>152</v>
      </c>
      <c r="D86" s="14" t="s">
        <v>15</v>
      </c>
      <c r="E86" s="14" t="s">
        <v>16</v>
      </c>
      <c r="F86" s="29">
        <v>43650</v>
      </c>
      <c r="G86" s="71">
        <f>0.57*0.9406188</f>
        <v>0.53615271599999992</v>
      </c>
      <c r="H86" s="15"/>
      <c r="I86" s="16"/>
      <c r="J86" s="15"/>
      <c r="K86" s="16"/>
      <c r="L86" s="15"/>
      <c r="M86" s="63"/>
      <c r="N86" s="17"/>
      <c r="O86" s="16"/>
      <c r="P86" s="18">
        <f t="shared" si="1"/>
        <v>0.53615271599999992</v>
      </c>
    </row>
    <row r="87" spans="1:17" x14ac:dyDescent="0.25">
      <c r="B87" s="12" t="s">
        <v>153</v>
      </c>
      <c r="C87" s="13" t="s">
        <v>154</v>
      </c>
      <c r="D87" s="14" t="s">
        <v>27</v>
      </c>
      <c r="E87" s="14" t="s">
        <v>16</v>
      </c>
      <c r="F87" s="15">
        <v>43735</v>
      </c>
      <c r="G87" s="16">
        <v>1.31</v>
      </c>
      <c r="H87" s="15"/>
      <c r="I87" s="16"/>
      <c r="J87" s="15"/>
      <c r="K87" s="16"/>
      <c r="L87" s="15"/>
      <c r="M87" s="63"/>
      <c r="N87" s="17"/>
      <c r="O87" s="16"/>
      <c r="P87" s="18">
        <f t="shared" si="1"/>
        <v>1.31</v>
      </c>
    </row>
    <row r="88" spans="1:17" x14ac:dyDescent="0.25">
      <c r="B88" s="19" t="s">
        <v>550</v>
      </c>
      <c r="C88" s="20" t="s">
        <v>155</v>
      </c>
      <c r="D88" s="21" t="s">
        <v>55</v>
      </c>
      <c r="E88" s="22" t="s">
        <v>56</v>
      </c>
      <c r="F88" s="23">
        <v>43557</v>
      </c>
      <c r="G88" s="24">
        <v>0.21</v>
      </c>
      <c r="H88" s="23">
        <v>43648</v>
      </c>
      <c r="I88" s="24">
        <v>0.21</v>
      </c>
      <c r="J88" s="23">
        <v>43739</v>
      </c>
      <c r="K88" s="24">
        <v>0.21</v>
      </c>
      <c r="L88" s="23"/>
      <c r="M88" s="77"/>
      <c r="N88" s="25"/>
      <c r="O88" s="24"/>
      <c r="P88" s="26">
        <f t="shared" si="1"/>
        <v>0.63</v>
      </c>
    </row>
    <row r="89" spans="1:17" x14ac:dyDescent="0.25">
      <c r="B89" s="12" t="s">
        <v>156</v>
      </c>
      <c r="C89" s="13" t="s">
        <v>157</v>
      </c>
      <c r="D89" s="14" t="s">
        <v>15</v>
      </c>
      <c r="E89" s="14" t="s">
        <v>21</v>
      </c>
      <c r="F89" s="15">
        <v>43726</v>
      </c>
      <c r="G89" s="16">
        <v>2</v>
      </c>
      <c r="H89" s="15"/>
      <c r="I89" s="16"/>
      <c r="J89" s="15"/>
      <c r="K89" s="16"/>
      <c r="L89" s="15"/>
      <c r="M89" s="63"/>
      <c r="N89" s="17"/>
      <c r="O89" s="16"/>
      <c r="P89" s="18">
        <f t="shared" si="1"/>
        <v>2</v>
      </c>
    </row>
    <row r="90" spans="1:17" x14ac:dyDescent="0.25">
      <c r="B90" s="31" t="s">
        <v>158</v>
      </c>
      <c r="C90" s="32" t="s">
        <v>159</v>
      </c>
      <c r="D90" s="14" t="s">
        <v>15</v>
      </c>
      <c r="E90" s="14" t="s">
        <v>77</v>
      </c>
      <c r="F90" s="15">
        <v>43482</v>
      </c>
      <c r="G90" s="16">
        <v>25.4</v>
      </c>
      <c r="H90" s="15">
        <v>43636</v>
      </c>
      <c r="I90" s="16">
        <v>13.1</v>
      </c>
      <c r="J90" s="15"/>
      <c r="K90" s="16"/>
      <c r="L90" s="15"/>
      <c r="M90" s="63"/>
      <c r="N90" s="17"/>
      <c r="O90" s="16"/>
      <c r="P90" s="18">
        <f t="shared" si="1"/>
        <v>38.5</v>
      </c>
    </row>
    <row r="91" spans="1:17" x14ac:dyDescent="0.25">
      <c r="B91" s="19" t="s">
        <v>160</v>
      </c>
      <c r="C91" s="66" t="s">
        <v>161</v>
      </c>
      <c r="D91" s="21" t="s">
        <v>55</v>
      </c>
      <c r="E91" s="22" t="s">
        <v>56</v>
      </c>
      <c r="F91" s="23">
        <v>43504</v>
      </c>
      <c r="G91" s="24">
        <v>0.30499999999999999</v>
      </c>
      <c r="H91" s="23">
        <v>43595</v>
      </c>
      <c r="I91" s="24">
        <v>0.30499999999999999</v>
      </c>
      <c r="J91" s="23">
        <v>43665</v>
      </c>
      <c r="K91" s="24">
        <v>0.30499999999999999</v>
      </c>
      <c r="L91" s="23">
        <v>43754</v>
      </c>
      <c r="M91" s="24">
        <v>0.42</v>
      </c>
      <c r="N91" s="25"/>
      <c r="O91" s="24"/>
      <c r="P91" s="26">
        <f t="shared" si="1"/>
        <v>1.335</v>
      </c>
    </row>
    <row r="92" spans="1:17" x14ac:dyDescent="0.25">
      <c r="A92" s="33"/>
      <c r="B92" s="34" t="s">
        <v>162</v>
      </c>
      <c r="C92" s="35" t="s">
        <v>163</v>
      </c>
      <c r="D92" s="14" t="s">
        <v>15</v>
      </c>
      <c r="E92" s="14" t="s">
        <v>16</v>
      </c>
      <c r="F92" s="15">
        <v>43584</v>
      </c>
      <c r="G92" s="16">
        <v>4.75</v>
      </c>
      <c r="H92" s="15"/>
      <c r="I92" s="16"/>
      <c r="J92" s="15"/>
      <c r="K92" s="16"/>
      <c r="L92" s="15"/>
      <c r="M92" s="63"/>
      <c r="N92" s="17"/>
      <c r="O92" s="16"/>
      <c r="P92" s="18">
        <f t="shared" si="1"/>
        <v>4.75</v>
      </c>
      <c r="Q92" s="36"/>
    </row>
    <row r="93" spans="1:17" x14ac:dyDescent="0.25">
      <c r="A93" s="33"/>
      <c r="B93" s="34" t="s">
        <v>164</v>
      </c>
      <c r="C93" s="35" t="s">
        <v>165</v>
      </c>
      <c r="D93" s="14" t="s">
        <v>24</v>
      </c>
      <c r="E93" s="14" t="s">
        <v>16</v>
      </c>
      <c r="F93" s="15">
        <v>43609</v>
      </c>
      <c r="G93" s="16">
        <v>0.69</v>
      </c>
      <c r="H93" s="15"/>
      <c r="I93" s="16"/>
      <c r="J93" s="15"/>
      <c r="K93" s="16"/>
      <c r="L93" s="15"/>
      <c r="M93" s="63"/>
      <c r="N93" s="17"/>
      <c r="O93" s="16"/>
      <c r="P93" s="18">
        <f t="shared" si="1"/>
        <v>0.69</v>
      </c>
      <c r="Q93" s="36"/>
    </row>
    <row r="94" spans="1:17" x14ac:dyDescent="0.25">
      <c r="A94" s="33"/>
      <c r="B94" s="37" t="s">
        <v>166</v>
      </c>
      <c r="C94" s="13" t="s">
        <v>167</v>
      </c>
      <c r="D94" s="14" t="s">
        <v>15</v>
      </c>
      <c r="E94" s="14" t="s">
        <v>21</v>
      </c>
      <c r="F94" s="15">
        <v>43588</v>
      </c>
      <c r="G94" s="16">
        <v>0.26250000000000001</v>
      </c>
      <c r="H94" s="15"/>
      <c r="I94" s="16"/>
      <c r="J94" s="15"/>
      <c r="K94" s="16"/>
      <c r="L94" s="15"/>
      <c r="M94" s="63"/>
      <c r="N94" s="17"/>
      <c r="O94" s="16"/>
      <c r="P94" s="18">
        <f t="shared" si="1"/>
        <v>0.26250000000000001</v>
      </c>
      <c r="Q94" s="36"/>
    </row>
    <row r="95" spans="1:17" x14ac:dyDescent="0.25">
      <c r="A95" s="33"/>
      <c r="B95" s="37" t="s">
        <v>168</v>
      </c>
      <c r="C95" s="13" t="s">
        <v>169</v>
      </c>
      <c r="D95" s="14" t="s">
        <v>15</v>
      </c>
      <c r="E95" s="14" t="s">
        <v>16</v>
      </c>
      <c r="F95" s="15">
        <v>43538</v>
      </c>
      <c r="G95" s="16">
        <v>0.52400000000000002</v>
      </c>
      <c r="H95" s="15">
        <v>43713</v>
      </c>
      <c r="I95" s="16">
        <v>0.2</v>
      </c>
      <c r="J95" s="15"/>
      <c r="K95" s="16"/>
      <c r="L95" s="15"/>
      <c r="M95" s="63"/>
      <c r="N95" s="17"/>
      <c r="O95" s="16"/>
      <c r="P95" s="18">
        <f t="shared" si="1"/>
        <v>0.72399999999999998</v>
      </c>
      <c r="Q95" s="36"/>
    </row>
    <row r="96" spans="1:17" x14ac:dyDescent="0.25">
      <c r="A96" s="33"/>
      <c r="B96" s="38" t="s">
        <v>577</v>
      </c>
      <c r="C96" s="20" t="s">
        <v>604</v>
      </c>
      <c r="D96" s="21" t="s">
        <v>55</v>
      </c>
      <c r="E96" s="22" t="s">
        <v>56</v>
      </c>
      <c r="F96" s="23">
        <v>43489</v>
      </c>
      <c r="G96" s="24">
        <v>0.5</v>
      </c>
      <c r="H96" s="23">
        <v>43577</v>
      </c>
      <c r="I96" s="24">
        <v>0.5</v>
      </c>
      <c r="J96" s="23">
        <v>43670</v>
      </c>
      <c r="K96" s="24">
        <v>0.5</v>
      </c>
      <c r="L96" s="23">
        <v>43761</v>
      </c>
      <c r="M96" s="77">
        <v>0.5</v>
      </c>
      <c r="N96" s="25"/>
      <c r="O96" s="24"/>
      <c r="P96" s="26">
        <f t="shared" si="1"/>
        <v>2</v>
      </c>
      <c r="Q96" s="36"/>
    </row>
    <row r="97" spans="2:16" x14ac:dyDescent="0.25">
      <c r="B97" s="12" t="s">
        <v>170</v>
      </c>
      <c r="C97" s="13" t="s">
        <v>171</v>
      </c>
      <c r="D97" s="14" t="s">
        <v>15</v>
      </c>
      <c r="E97" s="14" t="s">
        <v>16</v>
      </c>
      <c r="F97" s="15">
        <v>43608</v>
      </c>
      <c r="G97" s="16">
        <v>3.25</v>
      </c>
      <c r="H97" s="15"/>
      <c r="I97" s="16"/>
      <c r="J97" s="15"/>
      <c r="K97" s="16"/>
      <c r="L97" s="15"/>
      <c r="M97" s="63"/>
      <c r="N97" s="17"/>
      <c r="O97" s="16"/>
      <c r="P97" s="18">
        <f t="shared" si="1"/>
        <v>3.25</v>
      </c>
    </row>
    <row r="98" spans="2:16" x14ac:dyDescent="0.25">
      <c r="B98" s="12" t="s">
        <v>172</v>
      </c>
      <c r="C98" s="13" t="s">
        <v>173</v>
      </c>
      <c r="D98" s="14" t="s">
        <v>24</v>
      </c>
      <c r="E98" s="14" t="s">
        <v>16</v>
      </c>
      <c r="F98" s="15">
        <v>43592</v>
      </c>
      <c r="G98" s="16">
        <v>1.94</v>
      </c>
      <c r="H98" s="15"/>
      <c r="I98" s="16"/>
      <c r="J98" s="15"/>
      <c r="K98" s="16"/>
      <c r="L98" s="15"/>
      <c r="M98" s="63"/>
      <c r="N98" s="17"/>
      <c r="O98" s="16"/>
      <c r="P98" s="18">
        <f t="shared" si="1"/>
        <v>1.94</v>
      </c>
    </row>
    <row r="99" spans="2:16" x14ac:dyDescent="0.25">
      <c r="B99" s="12" t="s">
        <v>174</v>
      </c>
      <c r="C99" s="13" t="s">
        <v>175</v>
      </c>
      <c r="D99" s="14" t="s">
        <v>15</v>
      </c>
      <c r="E99" s="14" t="s">
        <v>16</v>
      </c>
      <c r="F99" s="15">
        <v>43609</v>
      </c>
      <c r="G99" s="16">
        <v>0.11</v>
      </c>
      <c r="H99" s="15"/>
      <c r="I99" s="16"/>
      <c r="J99" s="15"/>
      <c r="K99" s="16"/>
      <c r="L99" s="15"/>
      <c r="M99" s="63"/>
      <c r="N99" s="17"/>
      <c r="O99" s="16"/>
      <c r="P99" s="18">
        <f t="shared" si="1"/>
        <v>0.11</v>
      </c>
    </row>
    <row r="100" spans="2:16" x14ac:dyDescent="0.25">
      <c r="B100" s="12" t="s">
        <v>176</v>
      </c>
      <c r="C100" s="13" t="s">
        <v>177</v>
      </c>
      <c r="D100" s="14" t="s">
        <v>15</v>
      </c>
      <c r="E100" s="14" t="s">
        <v>16</v>
      </c>
      <c r="F100" s="15">
        <v>43594</v>
      </c>
      <c r="G100" s="16">
        <v>2.7</v>
      </c>
      <c r="H100" s="15"/>
      <c r="I100" s="16"/>
      <c r="J100" s="15"/>
      <c r="K100" s="16"/>
      <c r="L100" s="15"/>
      <c r="M100" s="63"/>
      <c r="N100" s="17"/>
      <c r="O100" s="16"/>
      <c r="P100" s="18">
        <f t="shared" si="1"/>
        <v>2.7</v>
      </c>
    </row>
    <row r="101" spans="2:16" x14ac:dyDescent="0.25">
      <c r="B101" s="12" t="s">
        <v>178</v>
      </c>
      <c r="C101" s="13" t="s">
        <v>179</v>
      </c>
      <c r="D101" s="14" t="s">
        <v>15</v>
      </c>
      <c r="E101" s="14" t="s">
        <v>16</v>
      </c>
      <c r="F101" s="15">
        <v>43593</v>
      </c>
      <c r="G101" s="16">
        <v>0.8</v>
      </c>
      <c r="H101" s="15"/>
      <c r="I101" s="16"/>
      <c r="J101" s="15"/>
      <c r="K101" s="16"/>
      <c r="L101" s="15"/>
      <c r="M101" s="63"/>
      <c r="N101" s="17"/>
      <c r="O101" s="16"/>
      <c r="P101" s="18">
        <f t="shared" si="1"/>
        <v>0.8</v>
      </c>
    </row>
    <row r="102" spans="2:16" x14ac:dyDescent="0.25">
      <c r="B102" s="12" t="s">
        <v>180</v>
      </c>
      <c r="C102" s="13" t="s">
        <v>181</v>
      </c>
      <c r="D102" s="14" t="s">
        <v>15</v>
      </c>
      <c r="E102" s="14" t="s">
        <v>16</v>
      </c>
      <c r="F102" s="15">
        <v>43601</v>
      </c>
      <c r="G102" s="16">
        <v>1.1499999999999999</v>
      </c>
      <c r="H102" s="15"/>
      <c r="I102" s="16"/>
      <c r="J102" s="15"/>
      <c r="K102" s="16"/>
      <c r="L102" s="15"/>
      <c r="M102" s="63"/>
      <c r="N102" s="17"/>
      <c r="O102" s="16"/>
      <c r="P102" s="18">
        <f t="shared" si="1"/>
        <v>1.1499999999999999</v>
      </c>
    </row>
    <row r="103" spans="2:16" x14ac:dyDescent="0.25">
      <c r="B103" s="12" t="s">
        <v>182</v>
      </c>
      <c r="C103" s="13" t="s">
        <v>183</v>
      </c>
      <c r="D103" s="14" t="s">
        <v>15</v>
      </c>
      <c r="E103" s="14" t="s">
        <v>16</v>
      </c>
      <c r="F103" s="15">
        <v>43553</v>
      </c>
      <c r="G103" s="16">
        <v>0.7</v>
      </c>
      <c r="H103" s="15"/>
      <c r="I103" s="16"/>
      <c r="J103" s="15"/>
      <c r="K103" s="16"/>
      <c r="L103" s="15"/>
      <c r="M103" s="63"/>
      <c r="N103" s="17"/>
      <c r="O103" s="16"/>
      <c r="P103" s="18">
        <f t="shared" si="1"/>
        <v>0.7</v>
      </c>
    </row>
    <row r="104" spans="2:16" x14ac:dyDescent="0.25">
      <c r="B104" s="12" t="s">
        <v>184</v>
      </c>
      <c r="C104" s="13" t="s">
        <v>185</v>
      </c>
      <c r="D104" s="14" t="s">
        <v>15</v>
      </c>
      <c r="E104" s="14" t="s">
        <v>77</v>
      </c>
      <c r="F104" s="15">
        <v>43524</v>
      </c>
      <c r="G104" s="16">
        <v>26.1</v>
      </c>
      <c r="H104" s="15">
        <v>43685</v>
      </c>
      <c r="I104" s="16">
        <v>42.47</v>
      </c>
      <c r="J104" s="15"/>
      <c r="K104" s="16"/>
      <c r="L104" s="15"/>
      <c r="M104" s="63"/>
      <c r="N104" s="17"/>
      <c r="O104" s="16"/>
      <c r="P104" s="18">
        <f t="shared" si="1"/>
        <v>68.569999999999993</v>
      </c>
    </row>
    <row r="105" spans="2:16" x14ac:dyDescent="0.25">
      <c r="B105" s="12" t="s">
        <v>186</v>
      </c>
      <c r="C105" s="13" t="s">
        <v>187</v>
      </c>
      <c r="D105" s="14" t="s">
        <v>27</v>
      </c>
      <c r="E105" s="14" t="s">
        <v>16</v>
      </c>
      <c r="F105" s="15">
        <v>43628</v>
      </c>
      <c r="G105" s="16">
        <v>1</v>
      </c>
      <c r="H105" s="15"/>
      <c r="I105" s="16"/>
      <c r="J105" s="15"/>
      <c r="K105" s="16"/>
      <c r="L105" s="15"/>
      <c r="M105" s="63"/>
      <c r="N105" s="17"/>
      <c r="O105" s="16"/>
      <c r="P105" s="18">
        <f t="shared" si="1"/>
        <v>1</v>
      </c>
    </row>
    <row r="106" spans="2:16" x14ac:dyDescent="0.25">
      <c r="B106" s="12" t="s">
        <v>188</v>
      </c>
      <c r="C106" s="13" t="s">
        <v>189</v>
      </c>
      <c r="D106" s="14" t="s">
        <v>15</v>
      </c>
      <c r="E106" s="14" t="s">
        <v>16</v>
      </c>
      <c r="F106" s="15"/>
      <c r="G106" s="16"/>
      <c r="H106" s="15"/>
      <c r="I106" s="16"/>
      <c r="J106" s="15"/>
      <c r="K106" s="16"/>
      <c r="L106" s="15"/>
      <c r="M106" s="63"/>
      <c r="N106" s="17"/>
      <c r="O106" s="16"/>
      <c r="P106" s="18">
        <f t="shared" si="1"/>
        <v>0</v>
      </c>
    </row>
    <row r="107" spans="2:16" x14ac:dyDescent="0.25">
      <c r="B107" s="12" t="s">
        <v>190</v>
      </c>
      <c r="C107" s="13" t="s">
        <v>191</v>
      </c>
      <c r="D107" s="14" t="s">
        <v>15</v>
      </c>
      <c r="E107" s="14" t="s">
        <v>16</v>
      </c>
      <c r="F107" s="15">
        <v>43595</v>
      </c>
      <c r="G107" s="16">
        <v>1.53</v>
      </c>
      <c r="H107" s="15">
        <v>43682</v>
      </c>
      <c r="I107" s="16">
        <v>0.77</v>
      </c>
      <c r="J107" s="15"/>
      <c r="K107" s="16"/>
      <c r="L107" s="15"/>
      <c r="M107" s="63"/>
      <c r="N107" s="17"/>
      <c r="O107" s="16"/>
      <c r="P107" s="18">
        <f t="shared" si="1"/>
        <v>2.2999999999999998</v>
      </c>
    </row>
    <row r="108" spans="2:16" x14ac:dyDescent="0.25">
      <c r="B108" s="19" t="s">
        <v>192</v>
      </c>
      <c r="C108" s="20" t="s">
        <v>193</v>
      </c>
      <c r="D108" s="21" t="s">
        <v>55</v>
      </c>
      <c r="E108" s="22" t="s">
        <v>56</v>
      </c>
      <c r="F108" s="23">
        <v>43510</v>
      </c>
      <c r="G108" s="24">
        <v>0.92749999999999999</v>
      </c>
      <c r="H108" s="23">
        <v>43601</v>
      </c>
      <c r="I108" s="24">
        <v>0.92749999999999999</v>
      </c>
      <c r="J108" s="23">
        <v>43692</v>
      </c>
      <c r="K108" s="24">
        <v>0.94499999999999995</v>
      </c>
      <c r="L108" s="23"/>
      <c r="M108" s="77"/>
      <c r="N108" s="25"/>
      <c r="O108" s="24"/>
      <c r="P108" s="26">
        <f t="shared" si="1"/>
        <v>2.8</v>
      </c>
    </row>
    <row r="109" spans="2:16" x14ac:dyDescent="0.25">
      <c r="B109" s="12" t="s">
        <v>194</v>
      </c>
      <c r="C109" s="13" t="s">
        <v>195</v>
      </c>
      <c r="D109" s="14" t="s">
        <v>15</v>
      </c>
      <c r="E109" s="14" t="s">
        <v>16</v>
      </c>
      <c r="F109" s="15">
        <v>43600</v>
      </c>
      <c r="G109" s="16">
        <v>0.43</v>
      </c>
      <c r="H109" s="15"/>
      <c r="I109" s="16"/>
      <c r="J109" s="15"/>
      <c r="K109" s="16"/>
      <c r="L109" s="15"/>
      <c r="M109" s="63"/>
      <c r="N109" s="17"/>
      <c r="O109" s="16"/>
      <c r="P109" s="18">
        <f t="shared" si="1"/>
        <v>0.43</v>
      </c>
    </row>
    <row r="110" spans="2:16" x14ac:dyDescent="0.25">
      <c r="B110" s="12" t="s">
        <v>196</v>
      </c>
      <c r="C110" s="13" t="s">
        <v>197</v>
      </c>
      <c r="D110" s="14" t="s">
        <v>24</v>
      </c>
      <c r="E110" s="14" t="s">
        <v>16</v>
      </c>
      <c r="F110" s="15">
        <v>43607</v>
      </c>
      <c r="G110" s="16">
        <v>0.16</v>
      </c>
      <c r="H110" s="15"/>
      <c r="I110" s="16"/>
      <c r="J110" s="15"/>
      <c r="K110" s="16"/>
      <c r="L110" s="15"/>
      <c r="M110" s="63"/>
      <c r="N110" s="17"/>
      <c r="O110" s="16"/>
      <c r="P110" s="18">
        <f t="shared" si="1"/>
        <v>0.16</v>
      </c>
    </row>
    <row r="111" spans="2:16" x14ac:dyDescent="0.25">
      <c r="B111" s="12" t="s">
        <v>198</v>
      </c>
      <c r="C111" s="13" t="s">
        <v>199</v>
      </c>
      <c r="D111" s="14" t="s">
        <v>15</v>
      </c>
      <c r="E111" s="14" t="s">
        <v>200</v>
      </c>
      <c r="F111" s="15">
        <v>43566</v>
      </c>
      <c r="G111" s="16">
        <v>4.25</v>
      </c>
      <c r="H111" s="15">
        <v>43748</v>
      </c>
      <c r="I111" s="16">
        <v>4.25</v>
      </c>
      <c r="J111" s="15"/>
      <c r="K111" s="16"/>
      <c r="L111" s="15"/>
      <c r="M111" s="63"/>
      <c r="N111" s="17"/>
      <c r="O111" s="16"/>
      <c r="P111" s="18">
        <f t="shared" si="1"/>
        <v>8.5</v>
      </c>
    </row>
    <row r="112" spans="2:16" x14ac:dyDescent="0.25">
      <c r="B112" s="12" t="s">
        <v>201</v>
      </c>
      <c r="C112" s="13" t="s">
        <v>202</v>
      </c>
      <c r="D112" s="14" t="s">
        <v>27</v>
      </c>
      <c r="E112" s="14" t="s">
        <v>16</v>
      </c>
      <c r="F112" s="15">
        <v>43614</v>
      </c>
      <c r="G112" s="16">
        <v>1.66</v>
      </c>
      <c r="H112" s="15"/>
      <c r="I112" s="16"/>
      <c r="J112" s="15"/>
      <c r="K112" s="16"/>
      <c r="L112" s="15"/>
      <c r="M112" s="63"/>
      <c r="N112" s="17"/>
      <c r="O112" s="16"/>
      <c r="P112" s="18">
        <f t="shared" si="1"/>
        <v>1.66</v>
      </c>
    </row>
    <row r="113" spans="2:16" x14ac:dyDescent="0.25">
      <c r="B113" s="12" t="s">
        <v>203</v>
      </c>
      <c r="C113" s="13" t="s">
        <v>204</v>
      </c>
      <c r="D113" s="14" t="s">
        <v>15</v>
      </c>
      <c r="E113" s="14" t="s">
        <v>16</v>
      </c>
      <c r="F113" s="15">
        <v>43559</v>
      </c>
      <c r="G113" s="16">
        <v>1.75</v>
      </c>
      <c r="H113" s="15"/>
      <c r="I113" s="16"/>
      <c r="J113" s="15"/>
      <c r="K113" s="16"/>
      <c r="L113" s="15"/>
      <c r="M113" s="63"/>
      <c r="N113" s="17"/>
      <c r="O113" s="16"/>
      <c r="P113" s="18">
        <f t="shared" si="1"/>
        <v>1.75</v>
      </c>
    </row>
    <row r="114" spans="2:16" x14ac:dyDescent="0.25">
      <c r="B114" s="12" t="s">
        <v>205</v>
      </c>
      <c r="C114" s="13" t="s">
        <v>206</v>
      </c>
      <c r="D114" s="14" t="s">
        <v>15</v>
      </c>
      <c r="E114" s="14" t="s">
        <v>16</v>
      </c>
      <c r="F114" s="15">
        <v>43647</v>
      </c>
      <c r="G114" s="16">
        <v>0.91800000000000004</v>
      </c>
      <c r="H114" s="15"/>
      <c r="I114" s="16"/>
      <c r="J114" s="15"/>
      <c r="K114" s="16"/>
      <c r="L114" s="15"/>
      <c r="M114" s="63"/>
      <c r="N114" s="17"/>
      <c r="O114" s="16"/>
      <c r="P114" s="18">
        <f t="shared" si="1"/>
        <v>0.91800000000000004</v>
      </c>
    </row>
    <row r="115" spans="2:16" x14ac:dyDescent="0.25">
      <c r="B115" s="12" t="s">
        <v>207</v>
      </c>
      <c r="C115" s="13" t="s">
        <v>208</v>
      </c>
      <c r="D115" s="14" t="s">
        <v>15</v>
      </c>
      <c r="E115" s="14" t="s">
        <v>16</v>
      </c>
      <c r="F115" s="15">
        <v>43462</v>
      </c>
      <c r="G115" s="16">
        <v>0.7</v>
      </c>
      <c r="H115" s="15">
        <v>43644</v>
      </c>
      <c r="I115" s="16">
        <v>0.72699999999999998</v>
      </c>
      <c r="J115" s="15"/>
      <c r="K115" s="16"/>
      <c r="L115" s="15"/>
      <c r="M115" s="63"/>
      <c r="N115" s="17"/>
      <c r="O115" s="16"/>
      <c r="P115" s="18">
        <f t="shared" si="1"/>
        <v>1.427</v>
      </c>
    </row>
    <row r="116" spans="2:16" x14ac:dyDescent="0.25">
      <c r="B116" s="12" t="s">
        <v>209</v>
      </c>
      <c r="C116" s="13" t="s">
        <v>210</v>
      </c>
      <c r="D116" s="14" t="s">
        <v>15</v>
      </c>
      <c r="E116" s="14" t="s">
        <v>16</v>
      </c>
      <c r="F116" s="15">
        <v>43486</v>
      </c>
      <c r="G116" s="16">
        <v>0.14000000000000001</v>
      </c>
      <c r="H116" s="15">
        <v>43668</v>
      </c>
      <c r="I116" s="16">
        <v>0.14000000000000001</v>
      </c>
      <c r="J116" s="15"/>
      <c r="K116" s="16"/>
      <c r="L116" s="15"/>
      <c r="M116" s="63"/>
      <c r="N116" s="17"/>
      <c r="O116" s="16"/>
      <c r="P116" s="18">
        <f t="shared" si="1"/>
        <v>0.28000000000000003</v>
      </c>
    </row>
    <row r="117" spans="2:16" x14ac:dyDescent="0.25">
      <c r="B117" s="12" t="s">
        <v>211</v>
      </c>
      <c r="C117" s="13" t="s">
        <v>212</v>
      </c>
      <c r="D117" s="14" t="s">
        <v>24</v>
      </c>
      <c r="E117" s="14" t="s">
        <v>16</v>
      </c>
      <c r="F117" s="29">
        <v>43606</v>
      </c>
      <c r="G117" s="71">
        <f>0.38*0.97191651</f>
        <v>0.3693282738</v>
      </c>
      <c r="H117" s="15"/>
      <c r="I117" s="16"/>
      <c r="J117" s="15"/>
      <c r="K117" s="16"/>
      <c r="L117" s="15"/>
      <c r="M117" s="63"/>
      <c r="N117" s="17"/>
      <c r="O117" s="16"/>
      <c r="P117" s="18">
        <f t="shared" si="1"/>
        <v>0.3693282738</v>
      </c>
    </row>
    <row r="118" spans="2:16" x14ac:dyDescent="0.25">
      <c r="B118" s="12" t="s">
        <v>213</v>
      </c>
      <c r="C118" s="13" t="s">
        <v>214</v>
      </c>
      <c r="D118" s="14" t="s">
        <v>15</v>
      </c>
      <c r="E118" s="14" t="s">
        <v>16</v>
      </c>
      <c r="F118" s="15">
        <v>43605</v>
      </c>
      <c r="G118" s="16">
        <v>0.41</v>
      </c>
      <c r="H118" s="15">
        <v>43731</v>
      </c>
      <c r="I118" s="16">
        <v>0.43</v>
      </c>
      <c r="J118" s="15"/>
      <c r="K118" s="16"/>
      <c r="L118" s="15"/>
      <c r="M118" s="63"/>
      <c r="N118" s="17"/>
      <c r="O118" s="16"/>
      <c r="P118" s="18">
        <f t="shared" si="1"/>
        <v>0.84</v>
      </c>
    </row>
    <row r="119" spans="2:16" x14ac:dyDescent="0.25">
      <c r="B119" s="12" t="s">
        <v>215</v>
      </c>
      <c r="C119" s="13" t="s">
        <v>216</v>
      </c>
      <c r="D119" s="14" t="s">
        <v>15</v>
      </c>
      <c r="E119" s="14" t="s">
        <v>200</v>
      </c>
      <c r="F119" s="15">
        <v>43552</v>
      </c>
      <c r="G119" s="16">
        <v>1</v>
      </c>
      <c r="H119" s="15"/>
      <c r="I119" s="16"/>
      <c r="J119" s="15"/>
      <c r="K119" s="16"/>
      <c r="L119" s="15"/>
      <c r="M119" s="63"/>
      <c r="N119" s="17"/>
      <c r="O119" s="16"/>
      <c r="P119" s="18">
        <f t="shared" si="1"/>
        <v>1</v>
      </c>
    </row>
    <row r="120" spans="2:16" x14ac:dyDescent="0.25">
      <c r="B120" s="12" t="s">
        <v>632</v>
      </c>
      <c r="C120" s="13" t="s">
        <v>218</v>
      </c>
      <c r="D120" s="14" t="s">
        <v>24</v>
      </c>
      <c r="E120" s="14" t="s">
        <v>16</v>
      </c>
      <c r="F120" s="15">
        <v>43606</v>
      </c>
      <c r="G120" s="16">
        <v>2.04</v>
      </c>
      <c r="H120" s="15"/>
      <c r="I120" s="16"/>
      <c r="J120" s="15"/>
      <c r="K120" s="16"/>
      <c r="L120" s="15"/>
      <c r="M120" s="63"/>
      <c r="N120" s="17"/>
      <c r="O120" s="16"/>
      <c r="P120" s="18">
        <f t="shared" si="1"/>
        <v>2.04</v>
      </c>
    </row>
    <row r="121" spans="2:16" x14ac:dyDescent="0.25">
      <c r="B121" s="12" t="s">
        <v>219</v>
      </c>
      <c r="C121" s="13" t="s">
        <v>220</v>
      </c>
      <c r="D121" s="14" t="s">
        <v>24</v>
      </c>
      <c r="E121" s="14" t="s">
        <v>16</v>
      </c>
      <c r="F121" s="15"/>
      <c r="G121" s="16"/>
      <c r="H121" s="15"/>
      <c r="I121" s="16"/>
      <c r="J121" s="15"/>
      <c r="K121" s="16"/>
      <c r="L121" s="15"/>
      <c r="M121" s="63"/>
      <c r="N121" s="17"/>
      <c r="O121" s="16"/>
      <c r="P121" s="18">
        <f t="shared" si="1"/>
        <v>0</v>
      </c>
    </row>
    <row r="122" spans="2:16" x14ac:dyDescent="0.25">
      <c r="B122" s="12" t="s">
        <v>621</v>
      </c>
      <c r="C122" s="13" t="s">
        <v>450</v>
      </c>
      <c r="D122" s="14" t="s">
        <v>15</v>
      </c>
      <c r="E122" s="14" t="s">
        <v>56</v>
      </c>
      <c r="F122" s="15">
        <v>43515</v>
      </c>
      <c r="G122" s="16">
        <v>0.23</v>
      </c>
      <c r="H122" s="15">
        <v>43601</v>
      </c>
      <c r="I122" s="16">
        <v>0.26</v>
      </c>
      <c r="J122" s="15">
        <v>43696</v>
      </c>
      <c r="K122" s="16">
        <v>0.18</v>
      </c>
      <c r="L122" s="15"/>
      <c r="M122" s="63"/>
      <c r="N122" s="17"/>
      <c r="O122" s="16"/>
      <c r="P122" s="18">
        <f>G122+I122+K122+M122+O122</f>
        <v>0.66999999999999993</v>
      </c>
    </row>
    <row r="123" spans="2:16" x14ac:dyDescent="0.25">
      <c r="B123" s="12" t="s">
        <v>221</v>
      </c>
      <c r="C123" s="13" t="s">
        <v>222</v>
      </c>
      <c r="D123" s="14" t="s">
        <v>15</v>
      </c>
      <c r="E123" s="14" t="s">
        <v>56</v>
      </c>
      <c r="F123" s="15">
        <v>43468</v>
      </c>
      <c r="G123" s="16">
        <v>0.14000000000000001</v>
      </c>
      <c r="H123" s="15">
        <v>43643</v>
      </c>
      <c r="I123" s="16">
        <v>0.32500000000000001</v>
      </c>
      <c r="J123" s="15"/>
      <c r="K123" s="16"/>
      <c r="L123" s="15"/>
      <c r="M123" s="63"/>
      <c r="N123" s="17"/>
      <c r="O123" s="16"/>
      <c r="P123" s="18">
        <f t="shared" si="1"/>
        <v>0.46500000000000002</v>
      </c>
    </row>
    <row r="124" spans="2:16" x14ac:dyDescent="0.25">
      <c r="B124" s="19" t="s">
        <v>223</v>
      </c>
      <c r="C124" s="20" t="s">
        <v>224</v>
      </c>
      <c r="D124" s="21" t="s">
        <v>55</v>
      </c>
      <c r="E124" s="22" t="s">
        <v>56</v>
      </c>
      <c r="F124" s="23">
        <v>43504</v>
      </c>
      <c r="G124" s="24">
        <v>0.82</v>
      </c>
      <c r="H124" s="23">
        <v>43595</v>
      </c>
      <c r="I124" s="24">
        <v>0.87</v>
      </c>
      <c r="J124" s="23">
        <v>43689</v>
      </c>
      <c r="K124" s="24">
        <v>0.87</v>
      </c>
      <c r="L124" s="23"/>
      <c r="M124" s="24"/>
      <c r="N124" s="25"/>
      <c r="O124" s="24"/>
      <c r="P124" s="26">
        <f t="shared" si="1"/>
        <v>2.56</v>
      </c>
    </row>
    <row r="125" spans="2:16" x14ac:dyDescent="0.25">
      <c r="B125" s="12" t="s">
        <v>225</v>
      </c>
      <c r="C125" s="13" t="s">
        <v>226</v>
      </c>
      <c r="D125" s="14" t="s">
        <v>15</v>
      </c>
      <c r="E125" s="14" t="s">
        <v>16</v>
      </c>
      <c r="F125" s="15">
        <v>43599</v>
      </c>
      <c r="G125" s="16">
        <v>0.311</v>
      </c>
      <c r="H125" s="15">
        <v>43410</v>
      </c>
      <c r="I125" s="16">
        <v>0.4078</v>
      </c>
      <c r="J125" s="15"/>
      <c r="K125" s="16"/>
      <c r="L125" s="15"/>
      <c r="M125" s="63"/>
      <c r="N125" s="17"/>
      <c r="O125" s="16"/>
      <c r="P125" s="18">
        <f t="shared" si="1"/>
        <v>0.71879999999999999</v>
      </c>
    </row>
    <row r="126" spans="2:16" x14ac:dyDescent="0.25">
      <c r="B126" s="12" t="s">
        <v>628</v>
      </c>
      <c r="C126" s="13" t="s">
        <v>629</v>
      </c>
      <c r="D126" s="14" t="s">
        <v>15</v>
      </c>
      <c r="E126" s="14" t="s">
        <v>16</v>
      </c>
      <c r="F126" s="29">
        <v>43578</v>
      </c>
      <c r="G126" s="71">
        <f>0.65*0.90275284</f>
        <v>0.58678934599999999</v>
      </c>
      <c r="H126" s="15"/>
      <c r="I126" s="16"/>
      <c r="J126" s="15"/>
      <c r="K126" s="16"/>
      <c r="L126" s="15"/>
      <c r="M126" s="63"/>
      <c r="N126" s="17"/>
      <c r="O126" s="16"/>
      <c r="P126" s="18">
        <f t="shared" si="1"/>
        <v>0.58678934599999999</v>
      </c>
    </row>
    <row r="127" spans="2:16" x14ac:dyDescent="0.25">
      <c r="B127" s="12" t="s">
        <v>686</v>
      </c>
      <c r="C127" s="13" t="s">
        <v>685</v>
      </c>
      <c r="D127" s="14" t="s">
        <v>15</v>
      </c>
      <c r="E127" s="14" t="s">
        <v>16</v>
      </c>
      <c r="F127" s="29">
        <v>43578</v>
      </c>
      <c r="G127" s="71">
        <f>0.65*0.90275284</f>
        <v>0.58678934599999999</v>
      </c>
      <c r="H127" s="15"/>
      <c r="I127" s="16"/>
      <c r="J127" s="15"/>
      <c r="K127" s="16"/>
      <c r="L127" s="15"/>
      <c r="M127" s="63"/>
      <c r="N127" s="17"/>
      <c r="O127" s="16"/>
      <c r="P127" s="18">
        <f t="shared" si="1"/>
        <v>0.58678934599999999</v>
      </c>
    </row>
    <row r="128" spans="2:16" x14ac:dyDescent="0.25">
      <c r="B128" s="19" t="s">
        <v>227</v>
      </c>
      <c r="C128" s="20" t="s">
        <v>228</v>
      </c>
      <c r="D128" s="21" t="s">
        <v>55</v>
      </c>
      <c r="E128" s="22" t="s">
        <v>56</v>
      </c>
      <c r="F128" s="23">
        <v>43495</v>
      </c>
      <c r="G128" s="24">
        <v>0.15</v>
      </c>
      <c r="H128" s="23">
        <v>43608</v>
      </c>
      <c r="I128" s="24">
        <v>0.15</v>
      </c>
      <c r="J128" s="23">
        <v>43668</v>
      </c>
      <c r="K128" s="24">
        <v>0.15</v>
      </c>
      <c r="L128" s="23">
        <v>43759</v>
      </c>
      <c r="M128" s="77">
        <v>0.15</v>
      </c>
      <c r="N128" s="25"/>
      <c r="O128" s="24"/>
      <c r="P128" s="26">
        <f t="shared" si="1"/>
        <v>0.6</v>
      </c>
    </row>
    <row r="129" spans="1:17" x14ac:dyDescent="0.25">
      <c r="B129" s="12" t="s">
        <v>229</v>
      </c>
      <c r="C129" s="13" t="s">
        <v>230</v>
      </c>
      <c r="D129" s="14" t="s">
        <v>15</v>
      </c>
      <c r="E129" s="14" t="s">
        <v>16</v>
      </c>
      <c r="F129" s="15">
        <v>43551</v>
      </c>
      <c r="G129" s="16">
        <v>1.1000000000000001</v>
      </c>
      <c r="H129" s="15"/>
      <c r="I129" s="16"/>
      <c r="J129" s="15"/>
      <c r="K129" s="16"/>
      <c r="L129" s="15"/>
      <c r="M129" s="63"/>
      <c r="N129" s="17"/>
      <c r="O129" s="16"/>
      <c r="P129" s="18">
        <f t="shared" si="1"/>
        <v>1.1000000000000001</v>
      </c>
    </row>
    <row r="130" spans="1:17" x14ac:dyDescent="0.25">
      <c r="A130" s="33"/>
      <c r="B130" s="37" t="s">
        <v>231</v>
      </c>
      <c r="C130" s="13" t="s">
        <v>232</v>
      </c>
      <c r="D130" s="14" t="s">
        <v>15</v>
      </c>
      <c r="E130" s="14" t="s">
        <v>16</v>
      </c>
      <c r="F130" s="15">
        <v>43605</v>
      </c>
      <c r="G130" s="16">
        <v>0.8</v>
      </c>
      <c r="H130" s="15"/>
      <c r="I130" s="16"/>
      <c r="J130" s="15"/>
      <c r="K130" s="16"/>
      <c r="L130" s="15"/>
      <c r="M130" s="63"/>
      <c r="N130" s="17"/>
      <c r="O130" s="16"/>
      <c r="P130" s="18">
        <f t="shared" si="1"/>
        <v>0.8</v>
      </c>
      <c r="Q130" s="36"/>
    </row>
    <row r="131" spans="1:17" x14ac:dyDescent="0.25">
      <c r="A131" s="33"/>
      <c r="B131" s="37" t="s">
        <v>233</v>
      </c>
      <c r="C131" s="13" t="s">
        <v>234</v>
      </c>
      <c r="D131" s="14" t="s">
        <v>15</v>
      </c>
      <c r="E131" s="14" t="s">
        <v>16</v>
      </c>
      <c r="F131" s="15"/>
      <c r="G131" s="16"/>
      <c r="H131" s="15"/>
      <c r="I131" s="16"/>
      <c r="J131" s="15"/>
      <c r="K131" s="16"/>
      <c r="L131" s="15"/>
      <c r="M131" s="63"/>
      <c r="N131" s="17"/>
      <c r="O131" s="16"/>
      <c r="P131" s="18">
        <f t="shared" si="1"/>
        <v>0</v>
      </c>
      <c r="Q131" s="36"/>
    </row>
    <row r="132" spans="1:17" x14ac:dyDescent="0.25">
      <c r="A132" s="33"/>
      <c r="B132" s="37" t="s">
        <v>235</v>
      </c>
      <c r="C132" s="13" t="s">
        <v>236</v>
      </c>
      <c r="D132" s="14" t="s">
        <v>237</v>
      </c>
      <c r="E132" s="14" t="s">
        <v>16</v>
      </c>
      <c r="F132" s="15">
        <v>43592</v>
      </c>
      <c r="G132" s="16">
        <v>0.35749999999999998</v>
      </c>
      <c r="H132" s="15">
        <v>43714</v>
      </c>
      <c r="I132" s="16">
        <v>0.31624999999999998</v>
      </c>
      <c r="J132" s="15"/>
      <c r="K132" s="16"/>
      <c r="L132" s="15"/>
      <c r="M132" s="63"/>
      <c r="N132" s="17"/>
      <c r="O132" s="16"/>
      <c r="P132" s="18">
        <f t="shared" si="1"/>
        <v>0.67374999999999996</v>
      </c>
      <c r="Q132" s="36"/>
    </row>
    <row r="133" spans="1:17" x14ac:dyDescent="0.25">
      <c r="A133" s="33"/>
      <c r="B133" s="37" t="s">
        <v>623</v>
      </c>
      <c r="C133" s="13" t="s">
        <v>239</v>
      </c>
      <c r="D133" s="14" t="s">
        <v>15</v>
      </c>
      <c r="E133" s="14" t="s">
        <v>16</v>
      </c>
      <c r="F133" s="15">
        <v>43542</v>
      </c>
      <c r="G133" s="16">
        <v>0.56999999999999995</v>
      </c>
      <c r="H133" s="15">
        <v>43675</v>
      </c>
      <c r="I133" s="16">
        <v>0.29399999999999998</v>
      </c>
      <c r="J133" s="15"/>
      <c r="K133" s="16"/>
      <c r="L133" s="15"/>
      <c r="M133" s="63"/>
      <c r="N133" s="17"/>
      <c r="O133" s="16"/>
      <c r="P133" s="18">
        <f t="shared" si="1"/>
        <v>0.86399999999999988</v>
      </c>
      <c r="Q133" s="36"/>
    </row>
    <row r="134" spans="1:17" x14ac:dyDescent="0.25">
      <c r="A134" s="33"/>
      <c r="B134" s="37" t="s">
        <v>242</v>
      </c>
      <c r="C134" s="13" t="s">
        <v>243</v>
      </c>
      <c r="D134" s="14" t="s">
        <v>15</v>
      </c>
      <c r="E134" s="14" t="s">
        <v>21</v>
      </c>
      <c r="F134" s="15">
        <v>43560</v>
      </c>
      <c r="G134" s="16">
        <v>10.8</v>
      </c>
      <c r="H134" s="15"/>
      <c r="I134" s="16"/>
      <c r="J134" s="15"/>
      <c r="K134" s="16"/>
      <c r="L134" s="15"/>
      <c r="M134" s="63"/>
      <c r="N134" s="17"/>
      <c r="O134" s="16"/>
      <c r="P134" s="18">
        <f t="shared" si="1"/>
        <v>10.8</v>
      </c>
      <c r="Q134" s="36"/>
    </row>
    <row r="135" spans="1:17" x14ac:dyDescent="0.25">
      <c r="A135" s="33"/>
      <c r="B135" s="38" t="s">
        <v>240</v>
      </c>
      <c r="C135" s="20" t="s">
        <v>241</v>
      </c>
      <c r="D135" s="21" t="s">
        <v>55</v>
      </c>
      <c r="E135" s="22" t="s">
        <v>56</v>
      </c>
      <c r="F135" s="23">
        <v>43532</v>
      </c>
      <c r="G135" s="24">
        <v>0.01</v>
      </c>
      <c r="H135" s="23">
        <v>43644</v>
      </c>
      <c r="I135" s="24">
        <v>0.01</v>
      </c>
      <c r="J135" s="23">
        <v>43721</v>
      </c>
      <c r="K135" s="24">
        <v>0.01</v>
      </c>
      <c r="L135" s="23"/>
      <c r="M135" s="77"/>
      <c r="N135" s="25"/>
      <c r="O135" s="24"/>
      <c r="P135" s="26">
        <f t="shared" si="1"/>
        <v>0.03</v>
      </c>
      <c r="Q135" s="36"/>
    </row>
    <row r="136" spans="1:17" x14ac:dyDescent="0.25">
      <c r="B136" s="19" t="s">
        <v>246</v>
      </c>
      <c r="C136" s="20" t="s">
        <v>247</v>
      </c>
      <c r="D136" s="21" t="s">
        <v>55</v>
      </c>
      <c r="E136" s="22" t="s">
        <v>56</v>
      </c>
      <c r="F136" s="23">
        <v>43531</v>
      </c>
      <c r="G136" s="24">
        <v>0.38</v>
      </c>
      <c r="H136" s="23">
        <v>43622</v>
      </c>
      <c r="I136" s="24">
        <v>0.38</v>
      </c>
      <c r="J136" s="23">
        <v>43713</v>
      </c>
      <c r="K136" s="24">
        <v>0.38</v>
      </c>
      <c r="L136" s="23"/>
      <c r="M136" s="77"/>
      <c r="N136" s="25"/>
      <c r="O136" s="24"/>
      <c r="P136" s="26">
        <f t="shared" si="1"/>
        <v>1.1400000000000001</v>
      </c>
    </row>
    <row r="137" spans="1:17" x14ac:dyDescent="0.25">
      <c r="B137" s="19" t="s">
        <v>567</v>
      </c>
      <c r="C137" s="20" t="s">
        <v>594</v>
      </c>
      <c r="D137" s="21" t="s">
        <v>55</v>
      </c>
      <c r="E137" s="22" t="s">
        <v>56</v>
      </c>
      <c r="F137" s="23">
        <v>43538</v>
      </c>
      <c r="G137" s="24">
        <v>0.63</v>
      </c>
      <c r="H137" s="23">
        <v>43629</v>
      </c>
      <c r="I137" s="24">
        <v>0.63</v>
      </c>
      <c r="J137" s="23">
        <v>43720</v>
      </c>
      <c r="K137" s="24">
        <v>0.63</v>
      </c>
      <c r="L137" s="23"/>
      <c r="M137" s="77"/>
      <c r="N137" s="25"/>
      <c r="O137" s="24"/>
      <c r="P137" s="26">
        <f t="shared" si="1"/>
        <v>1.8900000000000001</v>
      </c>
    </row>
    <row r="138" spans="1:17" x14ac:dyDescent="0.25">
      <c r="B138" s="12" t="s">
        <v>248</v>
      </c>
      <c r="C138" s="13" t="s">
        <v>249</v>
      </c>
      <c r="D138" s="14" t="s">
        <v>15</v>
      </c>
      <c r="E138" s="14" t="s">
        <v>21</v>
      </c>
      <c r="F138" s="15">
        <v>43556</v>
      </c>
      <c r="G138" s="16">
        <v>60</v>
      </c>
      <c r="H138" s="15"/>
      <c r="I138" s="16"/>
      <c r="J138" s="15"/>
      <c r="K138" s="16"/>
      <c r="L138" s="15"/>
      <c r="M138" s="63"/>
      <c r="N138" s="17"/>
      <c r="O138" s="16"/>
      <c r="P138" s="18">
        <f t="shared" si="1"/>
        <v>60</v>
      </c>
    </row>
    <row r="139" spans="1:17" x14ac:dyDescent="0.25">
      <c r="B139" s="12" t="s">
        <v>250</v>
      </c>
      <c r="C139" s="13" t="s">
        <v>251</v>
      </c>
      <c r="D139" s="14" t="s">
        <v>15</v>
      </c>
      <c r="E139" s="14" t="s">
        <v>77</v>
      </c>
      <c r="F139" s="15">
        <v>43517</v>
      </c>
      <c r="G139" s="28">
        <v>23</v>
      </c>
      <c r="H139" s="15">
        <v>43601</v>
      </c>
      <c r="I139" s="16">
        <v>19</v>
      </c>
      <c r="J139" s="15">
        <v>43685</v>
      </c>
      <c r="K139" s="16">
        <v>19</v>
      </c>
      <c r="L139" s="15"/>
      <c r="M139" s="16"/>
      <c r="N139" s="17"/>
      <c r="O139" s="16"/>
      <c r="P139" s="18">
        <f t="shared" si="1"/>
        <v>61</v>
      </c>
    </row>
    <row r="140" spans="1:17" x14ac:dyDescent="0.25">
      <c r="B140" s="12" t="s">
        <v>252</v>
      </c>
      <c r="C140" s="13" t="s">
        <v>253</v>
      </c>
      <c r="D140" s="14" t="s">
        <v>15</v>
      </c>
      <c r="E140" s="14" t="s">
        <v>56</v>
      </c>
      <c r="F140" s="15">
        <v>43580</v>
      </c>
      <c r="G140" s="16">
        <v>0.1</v>
      </c>
      <c r="H140" s="15">
        <v>43713</v>
      </c>
      <c r="I140" s="16">
        <v>0.1</v>
      </c>
      <c r="J140" s="15"/>
      <c r="K140" s="16"/>
      <c r="L140" s="15"/>
      <c r="M140" s="63"/>
      <c r="N140" s="17"/>
      <c r="O140" s="16"/>
      <c r="P140" s="18">
        <f t="shared" si="1"/>
        <v>0.2</v>
      </c>
    </row>
    <row r="141" spans="1:17" x14ac:dyDescent="0.25">
      <c r="B141" s="19" t="s">
        <v>570</v>
      </c>
      <c r="C141" s="20" t="s">
        <v>597</v>
      </c>
      <c r="D141" s="21" t="s">
        <v>55</v>
      </c>
      <c r="E141" s="22" t="s">
        <v>56</v>
      </c>
      <c r="F141" s="23">
        <v>43523</v>
      </c>
      <c r="G141" s="24">
        <v>0.8</v>
      </c>
      <c r="H141" s="23">
        <v>43614</v>
      </c>
      <c r="I141" s="24">
        <v>0.85</v>
      </c>
      <c r="J141" s="23">
        <v>43706</v>
      </c>
      <c r="K141" s="24">
        <v>1.25</v>
      </c>
      <c r="L141" s="23"/>
      <c r="M141" s="77"/>
      <c r="N141" s="25"/>
      <c r="O141" s="24"/>
      <c r="P141" s="26">
        <f t="shared" si="1"/>
        <v>2.9</v>
      </c>
    </row>
    <row r="142" spans="1:17" x14ac:dyDescent="0.25">
      <c r="B142" s="12" t="s">
        <v>254</v>
      </c>
      <c r="C142" s="13" t="s">
        <v>255</v>
      </c>
      <c r="D142" s="14" t="s">
        <v>27</v>
      </c>
      <c r="E142" s="14" t="s">
        <v>16</v>
      </c>
      <c r="F142" s="15">
        <v>43585</v>
      </c>
      <c r="G142" s="16">
        <v>3.07</v>
      </c>
      <c r="H142" s="15"/>
      <c r="I142" s="16"/>
      <c r="J142" s="15"/>
      <c r="K142" s="16"/>
      <c r="L142" s="15"/>
      <c r="M142" s="63"/>
      <c r="N142" s="17"/>
      <c r="O142" s="16"/>
      <c r="P142" s="18">
        <f t="shared" si="1"/>
        <v>3.07</v>
      </c>
    </row>
    <row r="143" spans="1:17" x14ac:dyDescent="0.25">
      <c r="B143" s="12" t="s">
        <v>256</v>
      </c>
      <c r="C143" s="13" t="s">
        <v>257</v>
      </c>
      <c r="D143" s="14" t="s">
        <v>15</v>
      </c>
      <c r="E143" s="14" t="s">
        <v>16</v>
      </c>
      <c r="F143" s="15">
        <v>43584</v>
      </c>
      <c r="G143" s="16">
        <v>1.01</v>
      </c>
      <c r="H143" s="15">
        <v>43677</v>
      </c>
      <c r="I143" s="16">
        <v>0.64</v>
      </c>
      <c r="J143" s="15"/>
      <c r="K143" s="16"/>
      <c r="L143" s="15"/>
      <c r="M143" s="63"/>
      <c r="N143" s="17"/>
      <c r="O143" s="16"/>
      <c r="P143" s="18">
        <f t="shared" ref="P143:P206" si="2">G143+I143+K143+M143+O143</f>
        <v>1.65</v>
      </c>
    </row>
    <row r="144" spans="1:17" x14ac:dyDescent="0.25">
      <c r="B144" s="12" t="s">
        <v>258</v>
      </c>
      <c r="C144" s="13" t="s">
        <v>259</v>
      </c>
      <c r="D144" s="14" t="s">
        <v>15</v>
      </c>
      <c r="E144" s="14" t="s">
        <v>16</v>
      </c>
      <c r="F144" s="15">
        <v>43564</v>
      </c>
      <c r="G144" s="16">
        <v>1.85</v>
      </c>
      <c r="H144" s="15"/>
      <c r="I144" s="16"/>
      <c r="J144" s="15"/>
      <c r="K144" s="16"/>
      <c r="L144" s="15"/>
      <c r="M144" s="63"/>
      <c r="N144" s="17"/>
      <c r="O144" s="16"/>
      <c r="P144" s="18">
        <f t="shared" si="2"/>
        <v>1.85</v>
      </c>
    </row>
    <row r="145" spans="2:16" x14ac:dyDescent="0.25">
      <c r="B145" s="12" t="s">
        <v>260</v>
      </c>
      <c r="C145" s="13" t="s">
        <v>261</v>
      </c>
      <c r="D145" s="14" t="s">
        <v>15</v>
      </c>
      <c r="E145" s="14" t="s">
        <v>200</v>
      </c>
      <c r="F145" s="15">
        <v>43593</v>
      </c>
      <c r="G145" s="16">
        <v>4.9000000000000004</v>
      </c>
      <c r="H145" s="15"/>
      <c r="I145" s="16"/>
      <c r="J145" s="15"/>
      <c r="K145" s="16"/>
      <c r="L145" s="15"/>
      <c r="M145" s="63"/>
      <c r="N145" s="17"/>
      <c r="O145" s="16"/>
      <c r="P145" s="18">
        <f t="shared" si="2"/>
        <v>4.9000000000000004</v>
      </c>
    </row>
    <row r="146" spans="2:16" x14ac:dyDescent="0.25">
      <c r="B146" s="12" t="s">
        <v>626</v>
      </c>
      <c r="C146" s="13" t="s">
        <v>627</v>
      </c>
      <c r="D146" s="14" t="s">
        <v>24</v>
      </c>
      <c r="E146" s="14" t="s">
        <v>16</v>
      </c>
      <c r="F146" s="15">
        <v>43516</v>
      </c>
      <c r="G146" s="16">
        <v>1.5</v>
      </c>
      <c r="H146" s="15">
        <v>43623</v>
      </c>
      <c r="I146" s="16">
        <v>3.05</v>
      </c>
      <c r="J146" s="15"/>
      <c r="K146" s="16"/>
      <c r="L146" s="15"/>
      <c r="M146" s="63"/>
      <c r="N146" s="17"/>
      <c r="O146" s="16"/>
      <c r="P146" s="18">
        <f>G146+I146+K146+M146+O146</f>
        <v>4.55</v>
      </c>
    </row>
    <row r="147" spans="2:16" x14ac:dyDescent="0.25">
      <c r="B147" s="19" t="s">
        <v>262</v>
      </c>
      <c r="C147" s="20" t="s">
        <v>263</v>
      </c>
      <c r="D147" s="21" t="s">
        <v>55</v>
      </c>
      <c r="E147" s="22" t="s">
        <v>56</v>
      </c>
      <c r="F147" s="23">
        <v>43537</v>
      </c>
      <c r="G147" s="24">
        <v>1.36</v>
      </c>
      <c r="H147" s="23">
        <v>43621</v>
      </c>
      <c r="I147" s="24">
        <v>1.36</v>
      </c>
      <c r="J147" s="23">
        <v>43712</v>
      </c>
      <c r="K147" s="24">
        <v>1.36</v>
      </c>
      <c r="L147" s="23"/>
      <c r="M147" s="77"/>
      <c r="N147" s="25"/>
      <c r="O147" s="24"/>
      <c r="P147" s="26">
        <f t="shared" si="2"/>
        <v>4.08</v>
      </c>
    </row>
    <row r="148" spans="2:16" x14ac:dyDescent="0.25">
      <c r="B148" s="19" t="s">
        <v>683</v>
      </c>
      <c r="C148" s="20" t="s">
        <v>592</v>
      </c>
      <c r="D148" s="21" t="s">
        <v>55</v>
      </c>
      <c r="E148" s="22" t="s">
        <v>56</v>
      </c>
      <c r="F148" s="23">
        <v>43517</v>
      </c>
      <c r="G148" s="24">
        <v>0.86</v>
      </c>
      <c r="H148" s="23">
        <v>43608</v>
      </c>
      <c r="I148" s="24">
        <v>0.82</v>
      </c>
      <c r="J148" s="23">
        <v>43692</v>
      </c>
      <c r="K148" s="24">
        <v>0.82</v>
      </c>
      <c r="L148" s="23"/>
      <c r="M148" s="77"/>
      <c r="N148" s="25"/>
      <c r="O148" s="24"/>
      <c r="P148" s="26">
        <f t="shared" si="2"/>
        <v>2.5</v>
      </c>
    </row>
    <row r="149" spans="2:16" x14ac:dyDescent="0.25">
      <c r="B149" s="12" t="s">
        <v>264</v>
      </c>
      <c r="C149" s="13" t="s">
        <v>265</v>
      </c>
      <c r="D149" s="14" t="s">
        <v>15</v>
      </c>
      <c r="E149" s="14" t="s">
        <v>56</v>
      </c>
      <c r="F149" s="15">
        <v>43517</v>
      </c>
      <c r="G149" s="16">
        <v>0.21</v>
      </c>
      <c r="H149" s="15">
        <v>43601</v>
      </c>
      <c r="I149" s="16">
        <v>0.1</v>
      </c>
      <c r="J149" s="15">
        <v>43692</v>
      </c>
      <c r="K149" s="16">
        <v>0.1</v>
      </c>
      <c r="L149" s="15">
        <v>43748</v>
      </c>
      <c r="M149" s="16">
        <v>0.1</v>
      </c>
      <c r="N149" s="17"/>
      <c r="O149" s="16"/>
      <c r="P149" s="18">
        <f t="shared" si="2"/>
        <v>0.51</v>
      </c>
    </row>
    <row r="150" spans="2:16" x14ac:dyDescent="0.25">
      <c r="B150" s="12" t="s">
        <v>266</v>
      </c>
      <c r="C150" s="13" t="s">
        <v>267</v>
      </c>
      <c r="D150" s="14" t="s">
        <v>15</v>
      </c>
      <c r="E150" s="14" t="s">
        <v>16</v>
      </c>
      <c r="F150" s="15">
        <v>43474</v>
      </c>
      <c r="G150" s="16">
        <v>0.151</v>
      </c>
      <c r="H150" s="15">
        <v>43650</v>
      </c>
      <c r="I150" s="16">
        <v>0.2</v>
      </c>
      <c r="J150" s="15"/>
      <c r="K150" s="16"/>
      <c r="L150" s="15"/>
      <c r="M150" s="63"/>
      <c r="N150" s="17"/>
      <c r="O150" s="16"/>
      <c r="P150" s="18">
        <f t="shared" si="2"/>
        <v>0.35099999999999998</v>
      </c>
    </row>
    <row r="151" spans="2:16" x14ac:dyDescent="0.25">
      <c r="B151" s="19" t="s">
        <v>553</v>
      </c>
      <c r="C151" s="20" t="s">
        <v>580</v>
      </c>
      <c r="D151" s="21" t="s">
        <v>55</v>
      </c>
      <c r="E151" s="22" t="s">
        <v>56</v>
      </c>
      <c r="F151" s="23">
        <v>43503</v>
      </c>
      <c r="G151" s="24">
        <v>1.57</v>
      </c>
      <c r="H151" s="23">
        <v>43594</v>
      </c>
      <c r="I151" s="24">
        <v>1.62</v>
      </c>
      <c r="J151" s="23">
        <v>43685</v>
      </c>
      <c r="K151" s="24">
        <v>1.62</v>
      </c>
      <c r="L151" s="23">
        <v>43776</v>
      </c>
      <c r="M151" s="24">
        <v>1.62</v>
      </c>
      <c r="N151" s="25"/>
      <c r="O151" s="24"/>
      <c r="P151" s="26">
        <f t="shared" si="2"/>
        <v>6.4300000000000006</v>
      </c>
    </row>
    <row r="152" spans="2:16" x14ac:dyDescent="0.25">
      <c r="B152" s="12" t="s">
        <v>268</v>
      </c>
      <c r="C152" s="13" t="s">
        <v>269</v>
      </c>
      <c r="D152" s="14" t="s">
        <v>15</v>
      </c>
      <c r="E152" s="14" t="s">
        <v>77</v>
      </c>
      <c r="F152" s="15">
        <v>43517</v>
      </c>
      <c r="G152" s="16">
        <v>65.459999999999994</v>
      </c>
      <c r="H152" s="15">
        <v>43608</v>
      </c>
      <c r="I152" s="16">
        <v>31.28</v>
      </c>
      <c r="J152" s="15">
        <v>43699</v>
      </c>
      <c r="K152" s="16">
        <v>31.28</v>
      </c>
      <c r="L152" s="15"/>
      <c r="M152" s="63"/>
      <c r="N152" s="17"/>
      <c r="O152" s="16"/>
      <c r="P152" s="18">
        <f>G152+I152+K152+M152+O152</f>
        <v>128.01999999999998</v>
      </c>
    </row>
    <row r="153" spans="2:16" x14ac:dyDescent="0.25">
      <c r="B153" s="12" t="s">
        <v>270</v>
      </c>
      <c r="C153" s="13" t="s">
        <v>271</v>
      </c>
      <c r="D153" s="14" t="s">
        <v>15</v>
      </c>
      <c r="E153" s="14" t="s">
        <v>16</v>
      </c>
      <c r="F153" s="29">
        <v>43584</v>
      </c>
      <c r="G153" s="71">
        <f>0.44*0.97559367</f>
        <v>0.42926121480000001</v>
      </c>
      <c r="H153" s="29">
        <v>43769</v>
      </c>
      <c r="I153" s="71">
        <f>0.22*0.97559367</f>
        <v>0.21463060740000001</v>
      </c>
      <c r="J153" s="15"/>
      <c r="K153" s="16"/>
      <c r="L153" s="15"/>
      <c r="M153" s="63"/>
      <c r="N153" s="17"/>
      <c r="O153" s="16"/>
      <c r="P153" s="18">
        <f>G153+I153+K153+M153+O153</f>
        <v>0.64389182220000007</v>
      </c>
    </row>
    <row r="154" spans="2:16" x14ac:dyDescent="0.25">
      <c r="B154" s="12" t="s">
        <v>273</v>
      </c>
      <c r="C154" s="13" t="s">
        <v>274</v>
      </c>
      <c r="D154" s="14" t="s">
        <v>15</v>
      </c>
      <c r="E154" s="14" t="s">
        <v>16</v>
      </c>
      <c r="F154" s="15">
        <v>43580</v>
      </c>
      <c r="G154" s="16">
        <v>0.44</v>
      </c>
      <c r="H154" s="15">
        <v>43682</v>
      </c>
      <c r="I154" s="16">
        <v>0.24</v>
      </c>
      <c r="J154" s="15"/>
      <c r="K154" s="16"/>
      <c r="L154" s="15"/>
      <c r="M154" s="63"/>
      <c r="N154" s="17"/>
      <c r="O154" s="16"/>
      <c r="P154" s="18">
        <f t="shared" si="2"/>
        <v>0.67999999999999994</v>
      </c>
    </row>
    <row r="155" spans="2:16" x14ac:dyDescent="0.25">
      <c r="B155" s="19" t="s">
        <v>612</v>
      </c>
      <c r="C155" s="20" t="s">
        <v>275</v>
      </c>
      <c r="D155" s="21" t="s">
        <v>55</v>
      </c>
      <c r="E155" s="22" t="s">
        <v>56</v>
      </c>
      <c r="F155" s="23">
        <v>43502</v>
      </c>
      <c r="G155" s="24">
        <v>0.315</v>
      </c>
      <c r="H155" s="23">
        <v>43591</v>
      </c>
      <c r="I155" s="24">
        <v>0.315</v>
      </c>
      <c r="J155" s="23">
        <v>43683</v>
      </c>
      <c r="K155" s="24">
        <v>0.315</v>
      </c>
      <c r="L155" s="23">
        <v>43776</v>
      </c>
      <c r="M155" s="24">
        <v>0.315</v>
      </c>
      <c r="N155" s="25"/>
      <c r="O155" s="24"/>
      <c r="P155" s="26">
        <f t="shared" si="2"/>
        <v>1.26</v>
      </c>
    </row>
    <row r="156" spans="2:16" x14ac:dyDescent="0.25">
      <c r="B156" s="12" t="s">
        <v>276</v>
      </c>
      <c r="C156" s="13" t="s">
        <v>277</v>
      </c>
      <c r="D156" s="14" t="s">
        <v>15</v>
      </c>
      <c r="E156" s="14" t="s">
        <v>16</v>
      </c>
      <c r="F156" s="15">
        <v>43605</v>
      </c>
      <c r="G156" s="16">
        <v>0.19700000000000001</v>
      </c>
      <c r="H156" s="15"/>
      <c r="I156" s="16"/>
      <c r="J156" s="15"/>
      <c r="K156" s="16"/>
      <c r="L156" s="15"/>
      <c r="M156" s="63"/>
      <c r="N156" s="17"/>
      <c r="O156" s="16"/>
      <c r="P156" s="18">
        <f t="shared" si="2"/>
        <v>0.19700000000000001</v>
      </c>
    </row>
    <row r="157" spans="2:16" x14ac:dyDescent="0.25">
      <c r="B157" s="12" t="s">
        <v>278</v>
      </c>
      <c r="C157" s="13" t="s">
        <v>279</v>
      </c>
      <c r="D157" s="14" t="s">
        <v>15</v>
      </c>
      <c r="E157" s="14" t="s">
        <v>16</v>
      </c>
      <c r="F157" s="15">
        <v>43605</v>
      </c>
      <c r="G157" s="16">
        <v>0.23400000000000001</v>
      </c>
      <c r="H157" s="15"/>
      <c r="I157" s="16"/>
      <c r="J157" s="15"/>
      <c r="K157" s="16"/>
      <c r="L157" s="15"/>
      <c r="M157" s="63"/>
      <c r="N157" s="17"/>
      <c r="O157" s="16"/>
      <c r="P157" s="18">
        <f t="shared" si="2"/>
        <v>0.23400000000000001</v>
      </c>
    </row>
    <row r="158" spans="2:16" x14ac:dyDescent="0.25">
      <c r="B158" s="19" t="s">
        <v>280</v>
      </c>
      <c r="C158" s="20" t="s">
        <v>281</v>
      </c>
      <c r="D158" s="21" t="s">
        <v>55</v>
      </c>
      <c r="E158" s="22" t="s">
        <v>56</v>
      </c>
      <c r="F158" s="23">
        <v>43521</v>
      </c>
      <c r="G158" s="24">
        <v>0.9</v>
      </c>
      <c r="H158" s="23">
        <v>43609</v>
      </c>
      <c r="I158" s="24">
        <v>0.95</v>
      </c>
      <c r="J158" s="23">
        <v>43703</v>
      </c>
      <c r="K158" s="24">
        <v>0.95</v>
      </c>
      <c r="L158" s="23"/>
      <c r="M158" s="77"/>
      <c r="N158" s="25"/>
      <c r="O158" s="24"/>
      <c r="P158" s="26">
        <f t="shared" si="2"/>
        <v>2.8</v>
      </c>
    </row>
    <row r="159" spans="2:16" x14ac:dyDescent="0.25">
      <c r="B159" s="19" t="s">
        <v>282</v>
      </c>
      <c r="C159" s="20" t="s">
        <v>283</v>
      </c>
      <c r="D159" s="21" t="s">
        <v>55</v>
      </c>
      <c r="E159" s="22" t="s">
        <v>56</v>
      </c>
      <c r="F159" s="23">
        <v>43559</v>
      </c>
      <c r="G159" s="24">
        <v>0.8</v>
      </c>
      <c r="H159" s="23">
        <v>43649</v>
      </c>
      <c r="I159" s="24">
        <v>0.8</v>
      </c>
      <c r="J159" s="23">
        <v>43741</v>
      </c>
      <c r="K159" s="24">
        <v>0.9</v>
      </c>
      <c r="L159" s="23"/>
      <c r="M159" s="77"/>
      <c r="N159" s="25"/>
      <c r="O159" s="24"/>
      <c r="P159" s="26">
        <f t="shared" si="2"/>
        <v>2.5</v>
      </c>
    </row>
    <row r="160" spans="2:16" x14ac:dyDescent="0.25">
      <c r="B160" s="12" t="s">
        <v>284</v>
      </c>
      <c r="C160" s="13" t="s">
        <v>285</v>
      </c>
      <c r="D160" s="14" t="s">
        <v>15</v>
      </c>
      <c r="E160" s="14" t="s">
        <v>21</v>
      </c>
      <c r="F160" s="15">
        <v>43567</v>
      </c>
      <c r="G160" s="16">
        <v>1.5</v>
      </c>
      <c r="H160" s="15"/>
      <c r="I160" s="16"/>
      <c r="J160" s="15"/>
      <c r="K160" s="16"/>
      <c r="L160" s="15"/>
      <c r="M160" s="63"/>
      <c r="N160" s="17"/>
      <c r="O160" s="16"/>
      <c r="P160" s="18">
        <f t="shared" si="2"/>
        <v>1.5</v>
      </c>
    </row>
    <row r="161" spans="1:17" x14ac:dyDescent="0.25">
      <c r="B161" s="12" t="s">
        <v>286</v>
      </c>
      <c r="C161" s="13" t="s">
        <v>287</v>
      </c>
      <c r="D161" s="14" t="s">
        <v>15</v>
      </c>
      <c r="E161" s="14" t="s">
        <v>16</v>
      </c>
      <c r="F161" s="15">
        <v>43601</v>
      </c>
      <c r="G161" s="16">
        <v>0.25</v>
      </c>
      <c r="H161" s="15"/>
      <c r="I161" s="16"/>
      <c r="J161" s="15"/>
      <c r="K161" s="16"/>
      <c r="L161" s="15"/>
      <c r="M161" s="63"/>
      <c r="N161" s="17"/>
      <c r="O161" s="16"/>
      <c r="P161" s="18">
        <f t="shared" si="2"/>
        <v>0.25</v>
      </c>
    </row>
    <row r="162" spans="1:17" x14ac:dyDescent="0.25">
      <c r="B162" s="12" t="s">
        <v>288</v>
      </c>
      <c r="C162" s="13" t="s">
        <v>289</v>
      </c>
      <c r="D162" s="14" t="s">
        <v>27</v>
      </c>
      <c r="E162" s="14" t="s">
        <v>16</v>
      </c>
      <c r="F162" s="15">
        <v>43592</v>
      </c>
      <c r="G162" s="16">
        <v>2.5</v>
      </c>
      <c r="H162" s="15"/>
      <c r="I162" s="16"/>
      <c r="J162" s="15"/>
      <c r="K162" s="16"/>
      <c r="L162" s="15"/>
      <c r="M162" s="63"/>
      <c r="N162" s="17"/>
      <c r="O162" s="16"/>
      <c r="P162" s="18">
        <f t="shared" si="2"/>
        <v>2.5</v>
      </c>
    </row>
    <row r="163" spans="1:17" x14ac:dyDescent="0.25">
      <c r="B163" s="12" t="s">
        <v>290</v>
      </c>
      <c r="C163" s="13" t="s">
        <v>291</v>
      </c>
      <c r="D163" s="14" t="s">
        <v>24</v>
      </c>
      <c r="E163" s="14" t="s">
        <v>16</v>
      </c>
      <c r="F163" s="15">
        <v>43480</v>
      </c>
      <c r="G163" s="16">
        <v>3.5</v>
      </c>
      <c r="H163" s="15">
        <v>43587</v>
      </c>
      <c r="I163" s="16">
        <v>7</v>
      </c>
      <c r="J163" s="15"/>
      <c r="K163" s="16"/>
      <c r="L163" s="15"/>
      <c r="M163" s="63"/>
      <c r="N163" s="17"/>
      <c r="O163" s="16"/>
      <c r="P163" s="18">
        <f t="shared" si="2"/>
        <v>10.5</v>
      </c>
    </row>
    <row r="164" spans="1:17" x14ac:dyDescent="0.25">
      <c r="B164" s="12" t="s">
        <v>292</v>
      </c>
      <c r="C164" s="13" t="s">
        <v>293</v>
      </c>
      <c r="D164" s="14" t="s">
        <v>15</v>
      </c>
      <c r="E164" s="14" t="s">
        <v>16</v>
      </c>
      <c r="F164" s="15">
        <v>43564</v>
      </c>
      <c r="G164" s="16">
        <v>1.17</v>
      </c>
      <c r="H164" s="15">
        <v>43747</v>
      </c>
      <c r="I164" s="16">
        <v>1.17</v>
      </c>
      <c r="J164" s="15"/>
      <c r="K164" s="16"/>
      <c r="L164" s="15"/>
      <c r="M164" s="63"/>
      <c r="N164" s="17"/>
      <c r="O164" s="16"/>
      <c r="P164" s="18">
        <f t="shared" si="2"/>
        <v>2.34</v>
      </c>
    </row>
    <row r="165" spans="1:17" x14ac:dyDescent="0.25">
      <c r="A165" s="33"/>
      <c r="B165" s="37" t="s">
        <v>294</v>
      </c>
      <c r="C165" s="13" t="s">
        <v>295</v>
      </c>
      <c r="D165" s="14" t="s">
        <v>15</v>
      </c>
      <c r="E165" s="14" t="s">
        <v>200</v>
      </c>
      <c r="F165" s="15">
        <v>43593</v>
      </c>
      <c r="G165" s="16">
        <v>4.25</v>
      </c>
      <c r="H165" s="15">
        <v>43776</v>
      </c>
      <c r="I165" s="16">
        <v>4</v>
      </c>
      <c r="J165" s="15"/>
      <c r="K165" s="16"/>
      <c r="L165" s="15"/>
      <c r="M165" s="63"/>
      <c r="N165" s="17"/>
      <c r="O165" s="16"/>
      <c r="P165" s="18">
        <f t="shared" si="2"/>
        <v>8.25</v>
      </c>
      <c r="Q165" s="36"/>
    </row>
    <row r="166" spans="1:17" x14ac:dyDescent="0.25">
      <c r="B166" s="12" t="s">
        <v>688</v>
      </c>
      <c r="C166" s="13" t="s">
        <v>689</v>
      </c>
      <c r="D166" s="14" t="s">
        <v>15</v>
      </c>
      <c r="E166" s="14" t="s">
        <v>16</v>
      </c>
      <c r="F166" s="15">
        <v>43531</v>
      </c>
      <c r="G166" s="16">
        <v>1.05</v>
      </c>
      <c r="H166" s="15">
        <v>43654</v>
      </c>
      <c r="I166" s="16">
        <v>1.05</v>
      </c>
      <c r="J166" s="15"/>
      <c r="K166" s="16"/>
      <c r="L166" s="15"/>
      <c r="M166" s="63"/>
      <c r="N166" s="17"/>
      <c r="O166" s="16"/>
      <c r="P166" s="18">
        <f t="shared" si="2"/>
        <v>2.1</v>
      </c>
    </row>
    <row r="167" spans="1:17" x14ac:dyDescent="0.25">
      <c r="B167" s="12" t="s">
        <v>296</v>
      </c>
      <c r="C167" s="13" t="s">
        <v>297</v>
      </c>
      <c r="D167" s="14" t="s">
        <v>15</v>
      </c>
      <c r="E167" s="14" t="s">
        <v>16</v>
      </c>
      <c r="F167" s="15">
        <v>43567</v>
      </c>
      <c r="G167" s="16">
        <v>0.08</v>
      </c>
      <c r="H167" s="15">
        <v>43672</v>
      </c>
      <c r="I167" s="16">
        <v>4.2000000000000003E-2</v>
      </c>
      <c r="J167" s="15"/>
      <c r="K167" s="16"/>
      <c r="L167" s="15"/>
      <c r="M167" s="63"/>
      <c r="N167" s="17"/>
      <c r="O167" s="16"/>
      <c r="P167" s="18">
        <f t="shared" si="2"/>
        <v>0.122</v>
      </c>
    </row>
    <row r="168" spans="1:17" x14ac:dyDescent="0.25">
      <c r="A168" s="33"/>
      <c r="B168" s="37" t="s">
        <v>298</v>
      </c>
      <c r="C168" s="13" t="s">
        <v>299</v>
      </c>
      <c r="D168" s="14" t="s">
        <v>15</v>
      </c>
      <c r="E168" s="14" t="s">
        <v>21</v>
      </c>
      <c r="F168" s="15">
        <v>43605</v>
      </c>
      <c r="G168" s="16">
        <v>2</v>
      </c>
      <c r="H168" s="15"/>
      <c r="I168" s="16"/>
      <c r="J168" s="15"/>
      <c r="K168" s="16"/>
      <c r="L168" s="15"/>
      <c r="M168" s="63"/>
      <c r="N168" s="17"/>
      <c r="O168" s="16"/>
      <c r="P168" s="18">
        <f t="shared" si="2"/>
        <v>2</v>
      </c>
      <c r="Q168" s="36"/>
    </row>
    <row r="169" spans="1:17" x14ac:dyDescent="0.25">
      <c r="A169" s="33"/>
      <c r="B169" s="37" t="s">
        <v>300</v>
      </c>
      <c r="C169" s="13" t="s">
        <v>301</v>
      </c>
      <c r="D169" s="14" t="s">
        <v>24</v>
      </c>
      <c r="E169" s="14" t="s">
        <v>16</v>
      </c>
      <c r="F169" s="15">
        <v>43599</v>
      </c>
      <c r="G169" s="16">
        <v>1.3</v>
      </c>
      <c r="H169" s="15"/>
      <c r="I169" s="16"/>
      <c r="J169" s="15"/>
      <c r="K169" s="16"/>
      <c r="L169" s="15"/>
      <c r="M169" s="63"/>
      <c r="N169" s="17"/>
      <c r="O169" s="16"/>
      <c r="P169" s="18">
        <f t="shared" si="2"/>
        <v>1.3</v>
      </c>
      <c r="Q169" s="36"/>
    </row>
    <row r="170" spans="1:17" x14ac:dyDescent="0.25">
      <c r="B170" s="12" t="s">
        <v>302</v>
      </c>
      <c r="C170" s="13" t="s">
        <v>303</v>
      </c>
      <c r="D170" s="14" t="s">
        <v>15</v>
      </c>
      <c r="E170" s="14" t="s">
        <v>77</v>
      </c>
      <c r="F170" s="15">
        <v>43580</v>
      </c>
      <c r="G170" s="16">
        <v>11.82</v>
      </c>
      <c r="H170" s="15">
        <v>43692</v>
      </c>
      <c r="I170" s="16">
        <v>4.93</v>
      </c>
      <c r="J170" s="15"/>
      <c r="K170" s="16"/>
      <c r="L170" s="15"/>
      <c r="M170" s="63"/>
      <c r="N170" s="17"/>
      <c r="O170" s="16"/>
      <c r="P170" s="18">
        <f t="shared" si="2"/>
        <v>16.75</v>
      </c>
    </row>
    <row r="171" spans="1:17" x14ac:dyDescent="0.25">
      <c r="B171" s="12" t="s">
        <v>304</v>
      </c>
      <c r="C171" s="13" t="s">
        <v>305</v>
      </c>
      <c r="D171" s="14" t="s">
        <v>24</v>
      </c>
      <c r="E171" s="14" t="s">
        <v>16</v>
      </c>
      <c r="F171" s="15">
        <v>43619</v>
      </c>
      <c r="G171" s="16">
        <v>1.34</v>
      </c>
      <c r="H171" s="15"/>
      <c r="I171" s="16"/>
      <c r="J171" s="15"/>
      <c r="K171" s="16"/>
      <c r="L171" s="15"/>
      <c r="M171" s="63"/>
      <c r="N171" s="17"/>
      <c r="O171" s="16"/>
      <c r="P171" s="18">
        <f t="shared" si="2"/>
        <v>1.34</v>
      </c>
    </row>
    <row r="172" spans="1:17" x14ac:dyDescent="0.25">
      <c r="B172" s="12" t="s">
        <v>634</v>
      </c>
      <c r="C172" s="13" t="s">
        <v>307</v>
      </c>
      <c r="D172" s="14" t="s">
        <v>15</v>
      </c>
      <c r="E172" s="14" t="s">
        <v>16</v>
      </c>
      <c r="F172" s="15">
        <v>43531</v>
      </c>
      <c r="G172" s="16">
        <v>0.77399380804953555</v>
      </c>
      <c r="H172" s="15">
        <v>43616</v>
      </c>
      <c r="I172" s="16">
        <v>0.875</v>
      </c>
      <c r="J172" s="15">
        <v>43707</v>
      </c>
      <c r="K172" s="16">
        <v>0.875</v>
      </c>
      <c r="L172" s="15"/>
      <c r="M172" s="63"/>
      <c r="N172" s="17"/>
      <c r="O172" s="16"/>
      <c r="P172" s="18">
        <f>G172+I172+K172+M172+O172</f>
        <v>2.5239938080495357</v>
      </c>
    </row>
    <row r="173" spans="1:17" x14ac:dyDescent="0.25">
      <c r="B173" s="12" t="s">
        <v>637</v>
      </c>
      <c r="C173" s="13" t="s">
        <v>635</v>
      </c>
      <c r="D173" s="14" t="s">
        <v>636</v>
      </c>
      <c r="E173" s="14" t="s">
        <v>16</v>
      </c>
      <c r="F173" s="15">
        <v>43531</v>
      </c>
      <c r="G173" s="16">
        <v>0.77399380804953555</v>
      </c>
      <c r="H173" s="15">
        <v>43616</v>
      </c>
      <c r="I173" s="16">
        <v>0.875</v>
      </c>
      <c r="J173" s="15">
        <v>43707</v>
      </c>
      <c r="K173" s="16">
        <v>0.875</v>
      </c>
      <c r="L173" s="15"/>
      <c r="M173" s="63"/>
      <c r="N173" s="17"/>
      <c r="O173" s="16"/>
      <c r="P173" s="18">
        <f t="shared" si="2"/>
        <v>2.5239938080495357</v>
      </c>
    </row>
    <row r="174" spans="1:17" x14ac:dyDescent="0.25">
      <c r="B174" s="12" t="s">
        <v>308</v>
      </c>
      <c r="C174" s="13" t="s">
        <v>309</v>
      </c>
      <c r="D174" s="14" t="s">
        <v>15</v>
      </c>
      <c r="E174" s="14" t="s">
        <v>77</v>
      </c>
      <c r="F174" s="15">
        <v>43559</v>
      </c>
      <c r="G174" s="16">
        <v>2.14</v>
      </c>
      <c r="H174" s="15">
        <v>43685</v>
      </c>
      <c r="I174" s="16">
        <v>1.1200000000000001</v>
      </c>
      <c r="J174" s="15"/>
      <c r="K174" s="16"/>
      <c r="L174" s="15"/>
      <c r="M174" s="63"/>
      <c r="N174" s="17"/>
      <c r="O174" s="16"/>
      <c r="P174" s="18">
        <f t="shared" si="2"/>
        <v>3.2600000000000002</v>
      </c>
    </row>
    <row r="175" spans="1:17" x14ac:dyDescent="0.25">
      <c r="B175" s="12" t="s">
        <v>310</v>
      </c>
      <c r="C175" s="13" t="s">
        <v>311</v>
      </c>
      <c r="D175" s="14" t="s">
        <v>24</v>
      </c>
      <c r="E175" s="14" t="s">
        <v>16</v>
      </c>
      <c r="F175" s="15">
        <v>43581</v>
      </c>
      <c r="G175" s="16">
        <v>3.85</v>
      </c>
      <c r="H175" s="15"/>
      <c r="I175" s="16"/>
      <c r="J175" s="15"/>
      <c r="K175" s="16"/>
      <c r="L175" s="15"/>
      <c r="M175" s="63"/>
      <c r="N175" s="17"/>
      <c r="O175" s="16"/>
      <c r="P175" s="18">
        <f t="shared" si="2"/>
        <v>3.85</v>
      </c>
    </row>
    <row r="176" spans="1:17" x14ac:dyDescent="0.25">
      <c r="B176" s="12" t="s">
        <v>312</v>
      </c>
      <c r="C176" s="13" t="s">
        <v>313</v>
      </c>
      <c r="D176" s="14" t="s">
        <v>24</v>
      </c>
      <c r="E176" s="14" t="s">
        <v>16</v>
      </c>
      <c r="F176" s="15">
        <v>43580</v>
      </c>
      <c r="G176" s="16">
        <v>4</v>
      </c>
      <c r="H176" s="15"/>
      <c r="I176" s="16"/>
      <c r="J176" s="15"/>
      <c r="K176" s="16"/>
      <c r="L176" s="15"/>
      <c r="M176" s="63"/>
      <c r="N176" s="17"/>
      <c r="O176" s="16"/>
      <c r="P176" s="18">
        <f t="shared" si="2"/>
        <v>4</v>
      </c>
    </row>
    <row r="177" spans="2:16" x14ac:dyDescent="0.25">
      <c r="B177" s="12" t="s">
        <v>314</v>
      </c>
      <c r="C177" s="13" t="s">
        <v>315</v>
      </c>
      <c r="D177" s="14" t="s">
        <v>15</v>
      </c>
      <c r="E177" s="14" t="s">
        <v>16</v>
      </c>
      <c r="F177" s="15">
        <v>43637</v>
      </c>
      <c r="G177" s="16">
        <v>8.5699999999999998E-2</v>
      </c>
      <c r="H177" s="15"/>
      <c r="I177" s="16"/>
      <c r="J177" s="15"/>
      <c r="K177" s="16"/>
      <c r="L177" s="15"/>
      <c r="M177" s="63"/>
      <c r="N177" s="17"/>
      <c r="O177" s="16"/>
      <c r="P177" s="18">
        <f t="shared" si="2"/>
        <v>8.5699999999999998E-2</v>
      </c>
    </row>
    <row r="178" spans="2:16" x14ac:dyDescent="0.25">
      <c r="B178" s="19" t="s">
        <v>562</v>
      </c>
      <c r="C178" s="20" t="s">
        <v>589</v>
      </c>
      <c r="D178" s="21" t="s">
        <v>55</v>
      </c>
      <c r="E178" s="22" t="s">
        <v>56</v>
      </c>
      <c r="F178" s="23">
        <v>43563</v>
      </c>
      <c r="G178" s="24">
        <v>0.33</v>
      </c>
      <c r="H178" s="23">
        <v>43654</v>
      </c>
      <c r="I178" s="24">
        <v>0.33</v>
      </c>
      <c r="J178" s="23">
        <v>43746</v>
      </c>
      <c r="K178" s="24">
        <v>0.33</v>
      </c>
      <c r="L178" s="23"/>
      <c r="M178" s="77"/>
      <c r="N178" s="25"/>
      <c r="O178" s="24"/>
      <c r="P178" s="26">
        <f t="shared" si="2"/>
        <v>0.99</v>
      </c>
    </row>
    <row r="179" spans="2:16" x14ac:dyDescent="0.25">
      <c r="B179" s="19" t="s">
        <v>561</v>
      </c>
      <c r="C179" s="20" t="s">
        <v>588</v>
      </c>
      <c r="D179" s="21" t="s">
        <v>55</v>
      </c>
      <c r="E179" s="22" t="s">
        <v>56</v>
      </c>
      <c r="F179" s="23">
        <v>43524</v>
      </c>
      <c r="G179" s="24">
        <v>1.1599999999999999</v>
      </c>
      <c r="H179" s="23">
        <v>43616</v>
      </c>
      <c r="I179" s="24">
        <v>1.1599999999999999</v>
      </c>
      <c r="J179" s="23">
        <v>43707</v>
      </c>
      <c r="K179" s="24">
        <v>1.1599999999999999</v>
      </c>
      <c r="L179" s="23"/>
      <c r="M179" s="77"/>
      <c r="N179" s="25"/>
      <c r="O179" s="24"/>
      <c r="P179" s="26">
        <f t="shared" si="2"/>
        <v>3.4799999999999995</v>
      </c>
    </row>
    <row r="180" spans="2:16" x14ac:dyDescent="0.25">
      <c r="B180" s="12" t="s">
        <v>316</v>
      </c>
      <c r="C180" s="13" t="s">
        <v>317</v>
      </c>
      <c r="D180" s="14" t="s">
        <v>15</v>
      </c>
      <c r="E180" s="14" t="s">
        <v>16</v>
      </c>
      <c r="F180" s="15"/>
      <c r="G180" s="16"/>
      <c r="H180" s="15"/>
      <c r="I180" s="16"/>
      <c r="J180" s="15"/>
      <c r="K180" s="16"/>
      <c r="L180" s="15"/>
      <c r="M180" s="63"/>
      <c r="N180" s="17"/>
      <c r="O180" s="16"/>
      <c r="P180" s="26">
        <f t="shared" si="2"/>
        <v>0</v>
      </c>
    </row>
    <row r="181" spans="2:16" x14ac:dyDescent="0.25">
      <c r="B181" s="12" t="s">
        <v>318</v>
      </c>
      <c r="C181" s="13" t="s">
        <v>319</v>
      </c>
      <c r="D181" s="14" t="s">
        <v>15</v>
      </c>
      <c r="E181" s="14" t="s">
        <v>16</v>
      </c>
      <c r="F181" s="15">
        <v>43581</v>
      </c>
      <c r="G181" s="16">
        <v>0.30590000000000001</v>
      </c>
      <c r="H181" s="15"/>
      <c r="I181" s="16"/>
      <c r="J181" s="15"/>
      <c r="K181" s="16"/>
      <c r="L181" s="15"/>
      <c r="M181" s="63"/>
      <c r="N181" s="17"/>
      <c r="O181" s="16"/>
      <c r="P181" s="18">
        <f t="shared" si="2"/>
        <v>0.30590000000000001</v>
      </c>
    </row>
    <row r="182" spans="2:16" x14ac:dyDescent="0.25">
      <c r="B182" s="12" t="s">
        <v>320</v>
      </c>
      <c r="C182" s="13" t="s">
        <v>321</v>
      </c>
      <c r="D182" s="14" t="s">
        <v>15</v>
      </c>
      <c r="E182" s="14" t="s">
        <v>16</v>
      </c>
      <c r="F182" s="15"/>
      <c r="G182" s="16"/>
      <c r="H182" s="15"/>
      <c r="I182" s="16"/>
      <c r="J182" s="15"/>
      <c r="K182" s="16"/>
      <c r="L182" s="15"/>
      <c r="M182" s="63"/>
      <c r="N182" s="17"/>
      <c r="O182" s="16"/>
      <c r="P182" s="18">
        <f t="shared" si="2"/>
        <v>0</v>
      </c>
    </row>
    <row r="183" spans="2:16" x14ac:dyDescent="0.25">
      <c r="B183" s="19" t="s">
        <v>558</v>
      </c>
      <c r="C183" s="20" t="s">
        <v>585</v>
      </c>
      <c r="D183" s="21" t="s">
        <v>55</v>
      </c>
      <c r="E183" s="22" t="s">
        <v>56</v>
      </c>
      <c r="F183" s="23">
        <v>43545</v>
      </c>
      <c r="G183" s="24">
        <v>0.5</v>
      </c>
      <c r="H183" s="23">
        <v>43651</v>
      </c>
      <c r="I183" s="24">
        <v>0.54</v>
      </c>
      <c r="J183" s="23">
        <v>43734</v>
      </c>
      <c r="K183" s="24">
        <v>0.54</v>
      </c>
      <c r="L183" s="23"/>
      <c r="M183" s="77"/>
      <c r="N183" s="25"/>
      <c r="O183" s="24"/>
      <c r="P183" s="26">
        <f t="shared" si="2"/>
        <v>1.58</v>
      </c>
    </row>
    <row r="184" spans="2:16" x14ac:dyDescent="0.25">
      <c r="B184" s="12" t="s">
        <v>322</v>
      </c>
      <c r="C184" s="13" t="s">
        <v>323</v>
      </c>
      <c r="D184" s="14" t="s">
        <v>15</v>
      </c>
      <c r="E184" s="14" t="s">
        <v>16</v>
      </c>
      <c r="F184" s="15">
        <v>43584</v>
      </c>
      <c r="G184" s="16">
        <v>1.25</v>
      </c>
      <c r="H184" s="15"/>
      <c r="I184" s="16"/>
      <c r="J184" s="15"/>
      <c r="K184" s="16"/>
      <c r="L184" s="15"/>
      <c r="M184" s="63"/>
      <c r="N184" s="17"/>
      <c r="O184" s="16"/>
      <c r="P184" s="18">
        <f t="shared" si="2"/>
        <v>1.25</v>
      </c>
    </row>
    <row r="185" spans="2:16" x14ac:dyDescent="0.25">
      <c r="B185" s="19" t="s">
        <v>324</v>
      </c>
      <c r="C185" s="20" t="s">
        <v>325</v>
      </c>
      <c r="D185" s="21" t="s">
        <v>55</v>
      </c>
      <c r="E185" s="22" t="s">
        <v>56</v>
      </c>
      <c r="F185" s="23">
        <v>43538</v>
      </c>
      <c r="G185" s="24">
        <v>0.55000000000000004</v>
      </c>
      <c r="H185" s="23">
        <v>43630</v>
      </c>
      <c r="I185" s="24">
        <v>0.55000000000000004</v>
      </c>
      <c r="J185" s="23">
        <v>43721</v>
      </c>
      <c r="K185" s="24">
        <v>0.55000000000000004</v>
      </c>
      <c r="L185" s="23"/>
      <c r="M185" s="24"/>
      <c r="N185" s="25"/>
      <c r="O185" s="24"/>
      <c r="P185" s="26">
        <f t="shared" si="2"/>
        <v>1.6500000000000001</v>
      </c>
    </row>
    <row r="186" spans="2:16" x14ac:dyDescent="0.25">
      <c r="B186" s="12" t="s">
        <v>610</v>
      </c>
      <c r="C186" s="13" t="s">
        <v>326</v>
      </c>
      <c r="D186" s="14" t="s">
        <v>15</v>
      </c>
      <c r="E186" s="14" t="s">
        <v>16</v>
      </c>
      <c r="F186" s="15"/>
      <c r="G186" s="16"/>
      <c r="H186" s="15"/>
      <c r="I186" s="16"/>
      <c r="J186" s="15"/>
      <c r="K186" s="16"/>
      <c r="L186" s="15"/>
      <c r="M186" s="63"/>
      <c r="N186" s="17"/>
      <c r="O186" s="16"/>
      <c r="P186" s="18">
        <f t="shared" si="2"/>
        <v>0</v>
      </c>
    </row>
    <row r="187" spans="2:16" x14ac:dyDescent="0.25">
      <c r="B187" s="12" t="s">
        <v>327</v>
      </c>
      <c r="C187" s="13" t="s">
        <v>328</v>
      </c>
      <c r="D187" s="14" t="s">
        <v>15</v>
      </c>
      <c r="E187" s="14" t="s">
        <v>16</v>
      </c>
      <c r="F187" s="15">
        <v>43581</v>
      </c>
      <c r="G187" s="16">
        <v>0.6</v>
      </c>
      <c r="H187" s="15">
        <v>43766</v>
      </c>
      <c r="I187" s="16">
        <v>0.6</v>
      </c>
      <c r="J187" s="15"/>
      <c r="K187" s="16"/>
      <c r="L187" s="15"/>
      <c r="M187" s="63"/>
      <c r="N187" s="17"/>
      <c r="O187" s="16"/>
      <c r="P187" s="18">
        <f t="shared" si="2"/>
        <v>1.2</v>
      </c>
    </row>
    <row r="188" spans="2:16" x14ac:dyDescent="0.25">
      <c r="B188" s="12" t="s">
        <v>329</v>
      </c>
      <c r="C188" s="13" t="s">
        <v>330</v>
      </c>
      <c r="D188" s="14" t="s">
        <v>24</v>
      </c>
      <c r="E188" s="14" t="s">
        <v>16</v>
      </c>
      <c r="F188" s="15">
        <v>43606</v>
      </c>
      <c r="G188" s="16">
        <v>3.7</v>
      </c>
      <c r="H188" s="15"/>
      <c r="I188" s="16"/>
      <c r="J188" s="15"/>
      <c r="K188" s="16"/>
      <c r="L188" s="15"/>
      <c r="M188" s="63"/>
      <c r="N188" s="17"/>
      <c r="O188" s="16"/>
      <c r="P188" s="18">
        <f t="shared" si="2"/>
        <v>3.7</v>
      </c>
    </row>
    <row r="189" spans="2:16" x14ac:dyDescent="0.25">
      <c r="B189" s="19" t="s">
        <v>331</v>
      </c>
      <c r="C189" s="20" t="s">
        <v>332</v>
      </c>
      <c r="D189" s="21" t="s">
        <v>55</v>
      </c>
      <c r="E189" s="22" t="s">
        <v>56</v>
      </c>
      <c r="F189" s="23">
        <v>43516</v>
      </c>
      <c r="G189" s="24">
        <v>0.46</v>
      </c>
      <c r="H189" s="23">
        <v>43600</v>
      </c>
      <c r="I189" s="24">
        <v>0.46</v>
      </c>
      <c r="J189" s="23">
        <v>43691</v>
      </c>
      <c r="K189" s="24">
        <v>0.46</v>
      </c>
      <c r="L189" s="23"/>
      <c r="M189" s="24"/>
      <c r="N189" s="25"/>
      <c r="O189" s="24"/>
      <c r="P189" s="26">
        <f t="shared" si="2"/>
        <v>1.3800000000000001</v>
      </c>
    </row>
    <row r="190" spans="2:16" x14ac:dyDescent="0.25">
      <c r="B190" s="12" t="s">
        <v>333</v>
      </c>
      <c r="C190" s="13" t="s">
        <v>334</v>
      </c>
      <c r="D190" s="14" t="s">
        <v>15</v>
      </c>
      <c r="E190" s="14" t="s">
        <v>16</v>
      </c>
      <c r="F190" s="15">
        <v>43587</v>
      </c>
      <c r="G190" s="16">
        <v>9.25</v>
      </c>
      <c r="H190" s="15"/>
      <c r="I190" s="16"/>
      <c r="J190" s="15"/>
      <c r="K190" s="16"/>
      <c r="L190" s="15"/>
      <c r="M190" s="63"/>
      <c r="N190" s="17"/>
      <c r="O190" s="16"/>
      <c r="P190" s="18">
        <f t="shared" si="2"/>
        <v>9.25</v>
      </c>
    </row>
    <row r="191" spans="2:16" x14ac:dyDescent="0.25">
      <c r="B191" s="12" t="s">
        <v>335</v>
      </c>
      <c r="C191" s="13" t="s">
        <v>336</v>
      </c>
      <c r="D191" s="14" t="s">
        <v>15</v>
      </c>
      <c r="E191" s="14" t="s">
        <v>77</v>
      </c>
      <c r="F191" s="15">
        <v>43615</v>
      </c>
      <c r="G191" s="16">
        <v>31.26</v>
      </c>
      <c r="H191" s="15"/>
      <c r="I191" s="16"/>
      <c r="J191" s="15"/>
      <c r="K191" s="16"/>
      <c r="L191" s="15"/>
      <c r="M191" s="63"/>
      <c r="N191" s="17"/>
      <c r="O191" s="16"/>
      <c r="P191" s="18">
        <f t="shared" si="2"/>
        <v>31.26</v>
      </c>
    </row>
    <row r="192" spans="2:16" x14ac:dyDescent="0.25">
      <c r="B192" s="12" t="s">
        <v>337</v>
      </c>
      <c r="C192" s="13" t="s">
        <v>338</v>
      </c>
      <c r="D192" s="14" t="s">
        <v>24</v>
      </c>
      <c r="E192" s="14" t="s">
        <v>16</v>
      </c>
      <c r="F192" s="29">
        <v>43616</v>
      </c>
      <c r="G192" s="71">
        <v>0.26860000000000001</v>
      </c>
      <c r="H192" s="15"/>
      <c r="I192" s="16"/>
      <c r="J192" s="15"/>
      <c r="K192" s="16"/>
      <c r="L192" s="15"/>
      <c r="M192" s="63"/>
      <c r="N192" s="17"/>
      <c r="O192" s="16"/>
      <c r="P192" s="18">
        <f t="shared" si="2"/>
        <v>0.26860000000000001</v>
      </c>
    </row>
    <row r="193" spans="2:16" x14ac:dyDescent="0.25">
      <c r="B193" s="12" t="s">
        <v>339</v>
      </c>
      <c r="C193" s="13" t="s">
        <v>340</v>
      </c>
      <c r="D193" s="14" t="s">
        <v>15</v>
      </c>
      <c r="E193" s="14" t="s">
        <v>16</v>
      </c>
      <c r="F193" s="29">
        <v>43558</v>
      </c>
      <c r="G193" s="71">
        <f>1.14*0.33333333</f>
        <v>0.37999999619999997</v>
      </c>
      <c r="H193" s="15">
        <v>43741</v>
      </c>
      <c r="I193" s="16">
        <v>0.38</v>
      </c>
      <c r="J193" s="15"/>
      <c r="K193" s="16"/>
      <c r="L193" s="15"/>
      <c r="M193" s="63"/>
      <c r="N193" s="17"/>
      <c r="O193" s="16"/>
      <c r="P193" s="18">
        <f t="shared" si="2"/>
        <v>0.75999999619999992</v>
      </c>
    </row>
    <row r="194" spans="2:16" x14ac:dyDescent="0.25">
      <c r="B194" s="12" t="s">
        <v>341</v>
      </c>
      <c r="C194" s="13" t="s">
        <v>342</v>
      </c>
      <c r="D194" s="14" t="s">
        <v>15</v>
      </c>
      <c r="E194" s="14" t="s">
        <v>21</v>
      </c>
      <c r="F194" s="15">
        <v>43570</v>
      </c>
      <c r="G194" s="16">
        <v>2.4500000000000002</v>
      </c>
      <c r="H194" s="15"/>
      <c r="I194" s="16"/>
      <c r="J194" s="15"/>
      <c r="K194" s="16"/>
      <c r="L194" s="15"/>
      <c r="M194" s="63"/>
      <c r="N194" s="17"/>
      <c r="O194" s="16"/>
      <c r="P194" s="18">
        <f t="shared" si="2"/>
        <v>2.4500000000000002</v>
      </c>
    </row>
    <row r="195" spans="2:16" x14ac:dyDescent="0.25">
      <c r="B195" s="12" t="s">
        <v>343</v>
      </c>
      <c r="C195" s="13" t="s">
        <v>344</v>
      </c>
      <c r="D195" s="14" t="s">
        <v>15</v>
      </c>
      <c r="E195" s="14" t="s">
        <v>16</v>
      </c>
      <c r="F195" s="15">
        <v>43616</v>
      </c>
      <c r="G195" s="16">
        <v>1.24</v>
      </c>
      <c r="H195" s="15">
        <v>43696</v>
      </c>
      <c r="I195" s="16">
        <v>0.76</v>
      </c>
      <c r="J195" s="15"/>
      <c r="K195" s="16"/>
      <c r="L195" s="15"/>
      <c r="M195" s="63"/>
      <c r="N195" s="17"/>
      <c r="O195" s="16"/>
      <c r="P195" s="18">
        <f t="shared" si="2"/>
        <v>2</v>
      </c>
    </row>
    <row r="196" spans="2:16" x14ac:dyDescent="0.25">
      <c r="B196" s="12" t="s">
        <v>345</v>
      </c>
      <c r="C196" s="13" t="s">
        <v>346</v>
      </c>
      <c r="D196" s="14" t="s">
        <v>15</v>
      </c>
      <c r="E196" s="14" t="s">
        <v>16</v>
      </c>
      <c r="F196" s="15">
        <v>43607</v>
      </c>
      <c r="G196" s="16">
        <v>0.05</v>
      </c>
      <c r="H196" s="15">
        <v>43675</v>
      </c>
      <c r="I196" s="16">
        <v>0.05</v>
      </c>
      <c r="J196" s="15">
        <v>43766</v>
      </c>
      <c r="K196" s="16">
        <v>0.05</v>
      </c>
      <c r="L196" s="15"/>
      <c r="M196" s="63"/>
      <c r="N196" s="17"/>
      <c r="O196" s="16"/>
      <c r="P196" s="18">
        <f t="shared" si="2"/>
        <v>0.15000000000000002</v>
      </c>
    </row>
    <row r="197" spans="2:16" x14ac:dyDescent="0.25">
      <c r="B197" s="31" t="s">
        <v>347</v>
      </c>
      <c r="C197" s="32" t="s">
        <v>348</v>
      </c>
      <c r="D197" s="39" t="s">
        <v>15</v>
      </c>
      <c r="E197" s="39" t="s">
        <v>16</v>
      </c>
      <c r="F197" s="15">
        <v>43553</v>
      </c>
      <c r="G197" s="16">
        <v>0.69</v>
      </c>
      <c r="H197" s="15"/>
      <c r="I197" s="16"/>
      <c r="J197" s="15"/>
      <c r="K197" s="16"/>
      <c r="L197" s="15"/>
      <c r="M197" s="63"/>
      <c r="N197" s="17"/>
      <c r="O197" s="16"/>
      <c r="P197" s="18">
        <f t="shared" si="2"/>
        <v>0.69</v>
      </c>
    </row>
    <row r="198" spans="2:16" x14ac:dyDescent="0.25">
      <c r="B198" s="64" t="s">
        <v>555</v>
      </c>
      <c r="C198" s="65" t="s">
        <v>582</v>
      </c>
      <c r="D198" s="67" t="s">
        <v>55</v>
      </c>
      <c r="E198" s="68" t="s">
        <v>56</v>
      </c>
      <c r="F198" s="23">
        <v>43565</v>
      </c>
      <c r="G198" s="24">
        <v>0.24</v>
      </c>
      <c r="H198" s="23">
        <v>43662</v>
      </c>
      <c r="I198" s="24">
        <v>0.24</v>
      </c>
      <c r="J198" s="23">
        <v>43747</v>
      </c>
      <c r="K198" s="24">
        <v>0.24</v>
      </c>
      <c r="L198" s="23"/>
      <c r="M198" s="77"/>
      <c r="N198" s="25"/>
      <c r="O198" s="24"/>
      <c r="P198" s="26">
        <f t="shared" si="2"/>
        <v>0.72</v>
      </c>
    </row>
    <row r="199" spans="2:16" x14ac:dyDescent="0.25">
      <c r="B199" s="12" t="s">
        <v>353</v>
      </c>
      <c r="C199" s="13" t="s">
        <v>354</v>
      </c>
      <c r="D199" s="14" t="s">
        <v>24</v>
      </c>
      <c r="E199" s="14" t="s">
        <v>16</v>
      </c>
      <c r="F199" s="15">
        <v>43620</v>
      </c>
      <c r="G199" s="16">
        <v>0.4</v>
      </c>
      <c r="H199" s="15"/>
      <c r="I199" s="16"/>
      <c r="J199" s="15"/>
      <c r="K199" s="16"/>
      <c r="L199" s="15"/>
      <c r="M199" s="63"/>
      <c r="N199" s="17"/>
      <c r="O199" s="16"/>
      <c r="P199" s="18">
        <f t="shared" si="2"/>
        <v>0.4</v>
      </c>
    </row>
    <row r="200" spans="2:16" x14ac:dyDescent="0.25">
      <c r="B200" s="44" t="s">
        <v>357</v>
      </c>
      <c r="C200" s="35" t="s">
        <v>358</v>
      </c>
      <c r="D200" s="45" t="s">
        <v>15</v>
      </c>
      <c r="E200" s="45" t="s">
        <v>77</v>
      </c>
      <c r="F200" s="46">
        <v>43559</v>
      </c>
      <c r="G200" s="47">
        <v>13</v>
      </c>
      <c r="H200" s="46">
        <v>43692</v>
      </c>
      <c r="I200" s="47">
        <v>6</v>
      </c>
      <c r="J200" s="46"/>
      <c r="K200" s="47"/>
      <c r="L200" s="46"/>
      <c r="M200" s="80"/>
      <c r="N200" s="48"/>
      <c r="O200" s="47"/>
      <c r="P200" s="49">
        <f t="shared" si="2"/>
        <v>19</v>
      </c>
    </row>
    <row r="201" spans="2:16" x14ac:dyDescent="0.25">
      <c r="B201" s="19" t="s">
        <v>551</v>
      </c>
      <c r="C201" s="20" t="s">
        <v>578</v>
      </c>
      <c r="D201" s="21" t="s">
        <v>55</v>
      </c>
      <c r="E201" s="22" t="s">
        <v>56</v>
      </c>
      <c r="F201" s="23">
        <v>43524</v>
      </c>
      <c r="G201" s="24">
        <v>0.92749999999999999</v>
      </c>
      <c r="H201" s="23">
        <v>43622</v>
      </c>
      <c r="I201" s="24">
        <v>0.95499999999999996</v>
      </c>
      <c r="J201" s="23">
        <v>43713</v>
      </c>
      <c r="K201" s="24">
        <v>0.95499999999999996</v>
      </c>
      <c r="L201" s="23"/>
      <c r="M201" s="77"/>
      <c r="N201" s="25"/>
      <c r="O201" s="24"/>
      <c r="P201" s="26">
        <f t="shared" si="2"/>
        <v>2.8374999999999999</v>
      </c>
    </row>
    <row r="202" spans="2:16" x14ac:dyDescent="0.25">
      <c r="B202" s="12" t="s">
        <v>359</v>
      </c>
      <c r="C202" s="13" t="s">
        <v>360</v>
      </c>
      <c r="D202" s="14" t="s">
        <v>24</v>
      </c>
      <c r="E202" s="14" t="s">
        <v>16</v>
      </c>
      <c r="F202" s="15">
        <v>43654</v>
      </c>
      <c r="G202" s="16">
        <v>1.18</v>
      </c>
      <c r="H202" s="15"/>
      <c r="I202" s="16"/>
      <c r="J202" s="15"/>
      <c r="K202" s="16"/>
      <c r="L202" s="15"/>
      <c r="M202" s="63"/>
      <c r="N202" s="17"/>
      <c r="O202" s="16"/>
      <c r="P202" s="18">
        <f t="shared" si="2"/>
        <v>1.18</v>
      </c>
    </row>
    <row r="203" spans="2:16" x14ac:dyDescent="0.25">
      <c r="B203" s="12" t="s">
        <v>361</v>
      </c>
      <c r="C203" s="13" t="s">
        <v>362</v>
      </c>
      <c r="D203" s="14" t="s">
        <v>24</v>
      </c>
      <c r="E203" s="14" t="s">
        <v>16</v>
      </c>
      <c r="F203" s="15">
        <v>43587</v>
      </c>
      <c r="G203" s="16">
        <v>0.78</v>
      </c>
      <c r="H203" s="15"/>
      <c r="I203" s="16"/>
      <c r="J203" s="15"/>
      <c r="K203" s="16"/>
      <c r="L203" s="15"/>
      <c r="M203" s="63"/>
      <c r="N203" s="17"/>
      <c r="O203" s="16"/>
      <c r="P203" s="18">
        <f t="shared" si="2"/>
        <v>0.78</v>
      </c>
    </row>
    <row r="204" spans="2:16" x14ac:dyDescent="0.25">
      <c r="B204" s="19" t="s">
        <v>363</v>
      </c>
      <c r="C204" s="20" t="s">
        <v>364</v>
      </c>
      <c r="D204" s="21" t="s">
        <v>55</v>
      </c>
      <c r="E204" s="22" t="s">
        <v>56</v>
      </c>
      <c r="F204" s="23">
        <v>43594</v>
      </c>
      <c r="G204" s="24">
        <v>0.36</v>
      </c>
      <c r="H204" s="23">
        <v>43678</v>
      </c>
      <c r="I204" s="24">
        <v>0.36</v>
      </c>
      <c r="J204" s="23">
        <v>43776</v>
      </c>
      <c r="K204" s="24">
        <v>0.36</v>
      </c>
      <c r="L204" s="23"/>
      <c r="M204" s="24"/>
      <c r="N204" s="25"/>
      <c r="O204" s="24"/>
      <c r="P204" s="26">
        <f t="shared" si="2"/>
        <v>1.08</v>
      </c>
    </row>
    <row r="205" spans="2:16" x14ac:dyDescent="0.25">
      <c r="B205" s="19" t="s">
        <v>606</v>
      </c>
      <c r="C205" s="20" t="s">
        <v>365</v>
      </c>
      <c r="D205" s="21" t="s">
        <v>55</v>
      </c>
      <c r="E205" s="22" t="s">
        <v>56</v>
      </c>
      <c r="F205" s="23">
        <v>43496</v>
      </c>
      <c r="G205" s="24">
        <v>0.36</v>
      </c>
      <c r="H205" s="23">
        <v>43549</v>
      </c>
      <c r="I205" s="24">
        <v>1.1399999999999999</v>
      </c>
      <c r="J205" s="23">
        <v>43636</v>
      </c>
      <c r="K205" s="24">
        <v>1.1399999999999999</v>
      </c>
      <c r="L205" s="23">
        <v>43732</v>
      </c>
      <c r="M205" s="77">
        <v>1.17</v>
      </c>
      <c r="N205" s="25"/>
      <c r="O205" s="24"/>
      <c r="P205" s="26">
        <f t="shared" si="2"/>
        <v>3.8099999999999996</v>
      </c>
    </row>
    <row r="206" spans="2:16" x14ac:dyDescent="0.25">
      <c r="B206" s="12" t="s">
        <v>366</v>
      </c>
      <c r="C206" s="13" t="s">
        <v>367</v>
      </c>
      <c r="D206" s="14" t="s">
        <v>15</v>
      </c>
      <c r="E206" s="14" t="s">
        <v>16</v>
      </c>
      <c r="F206" s="15">
        <v>43598</v>
      </c>
      <c r="G206" s="16">
        <v>0.85</v>
      </c>
      <c r="H206" s="15"/>
      <c r="I206" s="16"/>
      <c r="J206" s="15"/>
      <c r="K206" s="16"/>
      <c r="L206" s="15"/>
      <c r="M206" s="16"/>
      <c r="N206" s="17"/>
      <c r="O206" s="16"/>
      <c r="P206" s="18">
        <f t="shared" si="2"/>
        <v>0.85</v>
      </c>
    </row>
    <row r="207" spans="2:16" x14ac:dyDescent="0.25">
      <c r="B207" s="19" t="s">
        <v>355</v>
      </c>
      <c r="C207" s="20" t="s">
        <v>356</v>
      </c>
      <c r="D207" s="21" t="s">
        <v>55</v>
      </c>
      <c r="E207" s="22" t="s">
        <v>56</v>
      </c>
      <c r="F207" s="23">
        <v>43572</v>
      </c>
      <c r="G207" s="24">
        <v>0.74590000000000001</v>
      </c>
      <c r="H207" s="23">
        <v>43664</v>
      </c>
      <c r="I207" s="24">
        <v>0.74590000000000001</v>
      </c>
      <c r="J207" s="23">
        <v>43755</v>
      </c>
      <c r="K207" s="24">
        <v>0.74590000000000001</v>
      </c>
      <c r="L207" s="23"/>
      <c r="M207" s="77"/>
      <c r="N207" s="25"/>
      <c r="O207" s="24"/>
      <c r="P207" s="26">
        <f t="shared" ref="P207:P270" si="3">G207+I207+K207+M207+O207</f>
        <v>2.2377000000000002</v>
      </c>
    </row>
    <row r="208" spans="2:16" x14ac:dyDescent="0.25">
      <c r="B208" s="12" t="s">
        <v>368</v>
      </c>
      <c r="C208" s="13" t="s">
        <v>369</v>
      </c>
      <c r="D208" s="14" t="s">
        <v>27</v>
      </c>
      <c r="E208" s="14" t="s">
        <v>16</v>
      </c>
      <c r="F208" s="15">
        <v>43579</v>
      </c>
      <c r="G208" s="16">
        <v>1</v>
      </c>
      <c r="H208" s="15"/>
      <c r="I208" s="16"/>
      <c r="J208" s="15"/>
      <c r="K208" s="16"/>
      <c r="L208" s="15"/>
      <c r="M208" s="63"/>
      <c r="N208" s="17"/>
      <c r="O208" s="16"/>
      <c r="P208" s="18">
        <f t="shared" si="3"/>
        <v>1</v>
      </c>
    </row>
    <row r="209" spans="2:16" x14ac:dyDescent="0.25">
      <c r="B209" s="12" t="s">
        <v>372</v>
      </c>
      <c r="C209" s="13" t="s">
        <v>373</v>
      </c>
      <c r="D209" s="14" t="s">
        <v>24</v>
      </c>
      <c r="E209" s="14" t="s">
        <v>16</v>
      </c>
      <c r="F209" s="15">
        <v>43641</v>
      </c>
      <c r="G209" s="16">
        <v>2.12</v>
      </c>
      <c r="H209" s="15"/>
      <c r="I209" s="16"/>
      <c r="J209" s="15"/>
      <c r="K209" s="16"/>
      <c r="L209" s="15"/>
      <c r="M209" s="16"/>
      <c r="N209" s="17"/>
      <c r="O209" s="16"/>
      <c r="P209" s="18">
        <f t="shared" si="3"/>
        <v>2.12</v>
      </c>
    </row>
    <row r="210" spans="2:16" x14ac:dyDescent="0.25">
      <c r="B210" s="19" t="s">
        <v>572</v>
      </c>
      <c r="C210" s="20" t="s">
        <v>599</v>
      </c>
      <c r="D210" s="21" t="s">
        <v>55</v>
      </c>
      <c r="E210" s="22" t="s">
        <v>56</v>
      </c>
      <c r="F210" s="23">
        <v>43530</v>
      </c>
      <c r="G210" s="24">
        <v>0.62</v>
      </c>
      <c r="H210" s="23">
        <v>43621</v>
      </c>
      <c r="I210" s="24">
        <v>0.62</v>
      </c>
      <c r="J210" s="23">
        <v>43719</v>
      </c>
      <c r="K210" s="24">
        <v>0.62</v>
      </c>
      <c r="L210" s="23"/>
      <c r="M210" s="77"/>
      <c r="N210" s="25"/>
      <c r="O210" s="24"/>
      <c r="P210" s="26">
        <f t="shared" si="3"/>
        <v>1.8599999999999999</v>
      </c>
    </row>
    <row r="211" spans="2:16" x14ac:dyDescent="0.25">
      <c r="B211" s="12" t="s">
        <v>681</v>
      </c>
      <c r="C211" s="13" t="s">
        <v>682</v>
      </c>
      <c r="D211" s="14" t="s">
        <v>15</v>
      </c>
      <c r="E211" s="14" t="s">
        <v>16</v>
      </c>
      <c r="F211" s="15">
        <v>43635</v>
      </c>
      <c r="G211" s="16">
        <v>0.93</v>
      </c>
      <c r="H211" s="15"/>
      <c r="I211" s="16"/>
      <c r="J211" s="15"/>
      <c r="K211" s="16"/>
      <c r="L211" s="15"/>
      <c r="M211" s="16"/>
      <c r="N211" s="17"/>
      <c r="O211" s="16"/>
      <c r="P211" s="18">
        <f t="shared" si="3"/>
        <v>0.93</v>
      </c>
    </row>
    <row r="212" spans="2:16" x14ac:dyDescent="0.25">
      <c r="B212" s="12" t="s">
        <v>620</v>
      </c>
      <c r="C212" s="13" t="s">
        <v>375</v>
      </c>
      <c r="D212" s="14" t="s">
        <v>15</v>
      </c>
      <c r="E212" s="14" t="s">
        <v>16</v>
      </c>
      <c r="F212" s="29">
        <v>43552</v>
      </c>
      <c r="G212" s="71">
        <f>2.27*0.97559367</f>
        <v>2.2145976308999997</v>
      </c>
      <c r="H212" s="29">
        <v>43735</v>
      </c>
      <c r="I212" s="71">
        <f>1.11*0.97559367</f>
        <v>1.0829089737000002</v>
      </c>
      <c r="J212" s="15"/>
      <c r="K212" s="16"/>
      <c r="L212" s="15"/>
      <c r="M212" s="16"/>
      <c r="N212" s="17"/>
      <c r="O212" s="16"/>
      <c r="P212" s="18">
        <f t="shared" si="3"/>
        <v>3.2975066045999997</v>
      </c>
    </row>
    <row r="213" spans="2:16" x14ac:dyDescent="0.25">
      <c r="B213" s="12" t="s">
        <v>376</v>
      </c>
      <c r="C213" s="13" t="s">
        <v>377</v>
      </c>
      <c r="D213" s="14" t="s">
        <v>15</v>
      </c>
      <c r="E213" s="14" t="s">
        <v>77</v>
      </c>
      <c r="F213" s="15">
        <v>43573</v>
      </c>
      <c r="G213" s="16">
        <v>100.2</v>
      </c>
      <c r="H213" s="15">
        <v>43699</v>
      </c>
      <c r="I213" s="16">
        <v>73</v>
      </c>
      <c r="J213" s="15"/>
      <c r="K213" s="16"/>
      <c r="L213" s="15"/>
      <c r="M213" s="16"/>
      <c r="N213" s="17"/>
      <c r="O213" s="16"/>
      <c r="P213" s="18">
        <f t="shared" si="3"/>
        <v>173.2</v>
      </c>
    </row>
    <row r="214" spans="2:16" x14ac:dyDescent="0.25">
      <c r="B214" s="12" t="s">
        <v>378</v>
      </c>
      <c r="C214" s="13" t="s">
        <v>379</v>
      </c>
      <c r="D214" s="14" t="s">
        <v>15</v>
      </c>
      <c r="E214" s="14" t="s">
        <v>16</v>
      </c>
      <c r="F214" s="15">
        <v>43469</v>
      </c>
      <c r="G214" s="16">
        <v>0.2727</v>
      </c>
      <c r="H214" s="15">
        <v>43643</v>
      </c>
      <c r="I214" s="16">
        <v>0.71040000000000003</v>
      </c>
      <c r="J214" s="15"/>
      <c r="K214" s="16"/>
      <c r="L214" s="15"/>
      <c r="M214" s="16"/>
      <c r="N214" s="17"/>
      <c r="O214" s="16"/>
      <c r="P214" s="18">
        <f t="shared" si="3"/>
        <v>0.98310000000000008</v>
      </c>
    </row>
    <row r="215" spans="2:16" x14ac:dyDescent="0.25">
      <c r="B215" s="12" t="s">
        <v>382</v>
      </c>
      <c r="C215" s="13" t="s">
        <v>381</v>
      </c>
      <c r="D215" s="14" t="s">
        <v>15</v>
      </c>
      <c r="E215" s="14" t="s">
        <v>16</v>
      </c>
      <c r="F215" s="15">
        <v>43587</v>
      </c>
      <c r="G215" s="16">
        <v>0.33700000000000002</v>
      </c>
      <c r="H215" s="15">
        <v>43678</v>
      </c>
      <c r="I215" s="16">
        <v>0.14799999999999999</v>
      </c>
      <c r="J215" s="15"/>
      <c r="K215" s="16"/>
      <c r="L215" s="15"/>
      <c r="M215" s="16"/>
      <c r="N215" s="17"/>
      <c r="O215" s="16"/>
      <c r="P215" s="18">
        <f t="shared" si="3"/>
        <v>0.48499999999999999</v>
      </c>
    </row>
    <row r="216" spans="2:16" x14ac:dyDescent="0.25">
      <c r="B216" s="12" t="s">
        <v>382</v>
      </c>
      <c r="C216" s="13" t="s">
        <v>383</v>
      </c>
      <c r="D216" s="14" t="s">
        <v>15</v>
      </c>
      <c r="E216" s="14" t="s">
        <v>77</v>
      </c>
      <c r="F216" s="15">
        <v>43587</v>
      </c>
      <c r="G216" s="16">
        <v>29.7</v>
      </c>
      <c r="H216" s="15">
        <v>43678</v>
      </c>
      <c r="I216" s="16">
        <v>13.6</v>
      </c>
      <c r="J216" s="15"/>
      <c r="K216" s="16"/>
      <c r="L216" s="15"/>
      <c r="M216" s="16"/>
      <c r="N216" s="17"/>
      <c r="O216" s="16"/>
      <c r="P216" s="18">
        <f t="shared" si="3"/>
        <v>43.3</v>
      </c>
    </row>
    <row r="217" spans="2:16" x14ac:dyDescent="0.25">
      <c r="B217" s="12" t="s">
        <v>384</v>
      </c>
      <c r="C217" s="13" t="s">
        <v>385</v>
      </c>
      <c r="D217" s="14" t="s">
        <v>24</v>
      </c>
      <c r="E217" s="14" t="s">
        <v>16</v>
      </c>
      <c r="F217" s="15">
        <v>43634</v>
      </c>
      <c r="G217" s="16">
        <v>3.55</v>
      </c>
      <c r="H217" s="15"/>
      <c r="I217" s="16"/>
      <c r="J217" s="15"/>
      <c r="K217" s="16"/>
      <c r="L217" s="15"/>
      <c r="M217" s="16"/>
      <c r="N217" s="17"/>
      <c r="O217" s="16"/>
      <c r="P217" s="18">
        <f t="shared" si="3"/>
        <v>3.55</v>
      </c>
    </row>
    <row r="218" spans="2:16" x14ac:dyDescent="0.25">
      <c r="B218" s="12" t="s">
        <v>386</v>
      </c>
      <c r="C218" s="13" t="s">
        <v>387</v>
      </c>
      <c r="D218" s="14" t="s">
        <v>15</v>
      </c>
      <c r="E218" s="14" t="s">
        <v>16</v>
      </c>
      <c r="F218" s="15">
        <v>43458</v>
      </c>
      <c r="G218" s="16">
        <v>0.41099999999999998</v>
      </c>
      <c r="H218" s="15">
        <v>43633</v>
      </c>
      <c r="I218" s="16">
        <v>0.505</v>
      </c>
      <c r="J218" s="15"/>
      <c r="K218" s="16"/>
      <c r="L218" s="15"/>
      <c r="M218" s="16"/>
      <c r="N218" s="17"/>
      <c r="O218" s="16"/>
      <c r="P218" s="18">
        <f t="shared" si="3"/>
        <v>0.91599999999999993</v>
      </c>
    </row>
    <row r="219" spans="2:16" x14ac:dyDescent="0.25">
      <c r="B219" s="12" t="s">
        <v>388</v>
      </c>
      <c r="C219" s="13" t="s">
        <v>389</v>
      </c>
      <c r="D219" s="14" t="s">
        <v>15</v>
      </c>
      <c r="E219" s="14" t="s">
        <v>77</v>
      </c>
      <c r="F219" s="29">
        <v>43531</v>
      </c>
      <c r="G219" s="71">
        <f>135.96*0.95772724*0.98776426</f>
        <v>128.61934808652015</v>
      </c>
      <c r="H219" s="29">
        <v>43685</v>
      </c>
      <c r="I219" s="71">
        <f>123.32*0.98776426</f>
        <v>121.81108854319999</v>
      </c>
      <c r="J219" s="15"/>
      <c r="K219" s="16"/>
      <c r="L219" s="15"/>
      <c r="M219" s="16"/>
      <c r="N219" s="17"/>
      <c r="O219" s="16"/>
      <c r="P219" s="18">
        <f t="shared" si="3"/>
        <v>250.43043662972013</v>
      </c>
    </row>
    <row r="220" spans="2:16" x14ac:dyDescent="0.25">
      <c r="B220" s="12" t="s">
        <v>390</v>
      </c>
      <c r="C220" s="13" t="s">
        <v>391</v>
      </c>
      <c r="D220" s="14" t="s">
        <v>15</v>
      </c>
      <c r="E220" s="14" t="s">
        <v>21</v>
      </c>
      <c r="F220" s="15">
        <v>43531</v>
      </c>
      <c r="G220" s="16">
        <v>8.6999999999999993</v>
      </c>
      <c r="H220" s="15"/>
      <c r="I220" s="16"/>
      <c r="J220" s="15"/>
      <c r="K220" s="16"/>
      <c r="L220" s="15"/>
      <c r="M220" s="16"/>
      <c r="N220" s="17"/>
      <c r="O220" s="16"/>
      <c r="P220" s="18">
        <f t="shared" si="3"/>
        <v>8.6999999999999993</v>
      </c>
    </row>
    <row r="221" spans="2:16" x14ac:dyDescent="0.25">
      <c r="B221" s="31" t="s">
        <v>392</v>
      </c>
      <c r="C221" s="32" t="s">
        <v>393</v>
      </c>
      <c r="D221" s="39" t="s">
        <v>15</v>
      </c>
      <c r="E221" s="39" t="s">
        <v>77</v>
      </c>
      <c r="F221" s="15">
        <v>43580</v>
      </c>
      <c r="G221" s="16">
        <v>7.1</v>
      </c>
      <c r="H221" s="40">
        <v>43762</v>
      </c>
      <c r="I221" s="41">
        <v>4.5999999999999996</v>
      </c>
      <c r="J221" s="40"/>
      <c r="K221" s="41"/>
      <c r="L221" s="40"/>
      <c r="M221" s="41"/>
      <c r="N221" s="42"/>
      <c r="O221" s="41"/>
      <c r="P221" s="43">
        <f t="shared" si="3"/>
        <v>11.7</v>
      </c>
    </row>
    <row r="222" spans="2:16" x14ac:dyDescent="0.25">
      <c r="B222" s="12" t="s">
        <v>394</v>
      </c>
      <c r="C222" s="13" t="s">
        <v>395</v>
      </c>
      <c r="D222" s="14" t="s">
        <v>15</v>
      </c>
      <c r="E222" s="14" t="s">
        <v>16</v>
      </c>
      <c r="F222" s="15">
        <v>43510</v>
      </c>
      <c r="G222" s="16">
        <v>0.41810000000000003</v>
      </c>
      <c r="H222" s="15">
        <v>43601</v>
      </c>
      <c r="I222" s="16">
        <v>0.42030000000000001</v>
      </c>
      <c r="J222" s="15">
        <v>43692</v>
      </c>
      <c r="K222" s="16">
        <v>0.42520000000000002</v>
      </c>
      <c r="L222" s="15"/>
      <c r="M222" s="16"/>
      <c r="N222" s="17"/>
      <c r="O222" s="16"/>
      <c r="P222" s="18">
        <f t="shared" si="3"/>
        <v>1.2636000000000001</v>
      </c>
    </row>
    <row r="223" spans="2:16" x14ac:dyDescent="0.25">
      <c r="B223" s="12" t="s">
        <v>396</v>
      </c>
      <c r="C223" s="13" t="s">
        <v>397</v>
      </c>
      <c r="D223" s="14" t="s">
        <v>15</v>
      </c>
      <c r="E223" s="14" t="s">
        <v>16</v>
      </c>
      <c r="F223" s="15">
        <v>43591</v>
      </c>
      <c r="G223" s="16">
        <v>0.7</v>
      </c>
      <c r="H223" s="15"/>
      <c r="I223" s="16"/>
      <c r="J223" s="15"/>
      <c r="K223" s="16"/>
      <c r="L223" s="15"/>
      <c r="M223" s="16"/>
      <c r="N223" s="17"/>
      <c r="O223" s="16"/>
      <c r="P223" s="18">
        <f t="shared" si="3"/>
        <v>0.7</v>
      </c>
    </row>
    <row r="224" spans="2:16" x14ac:dyDescent="0.25">
      <c r="B224" s="44" t="s">
        <v>398</v>
      </c>
      <c r="C224" s="35" t="s">
        <v>399</v>
      </c>
      <c r="D224" s="45" t="s">
        <v>24</v>
      </c>
      <c r="E224" s="45" t="s">
        <v>16</v>
      </c>
      <c r="F224" s="15">
        <v>43612</v>
      </c>
      <c r="G224" s="16">
        <v>1.82</v>
      </c>
      <c r="H224" s="46"/>
      <c r="I224" s="47"/>
      <c r="J224" s="46"/>
      <c r="K224" s="47"/>
      <c r="L224" s="46"/>
      <c r="M224" s="47"/>
      <c r="N224" s="48"/>
      <c r="O224" s="47"/>
      <c r="P224" s="49">
        <f t="shared" si="3"/>
        <v>1.82</v>
      </c>
    </row>
    <row r="225" spans="2:16" x14ac:dyDescent="0.25">
      <c r="B225" s="12" t="s">
        <v>400</v>
      </c>
      <c r="C225" s="13" t="s">
        <v>401</v>
      </c>
      <c r="D225" s="14" t="s">
        <v>24</v>
      </c>
      <c r="E225" s="14" t="s">
        <v>16</v>
      </c>
      <c r="F225" s="15">
        <v>43626</v>
      </c>
      <c r="G225" s="16">
        <v>1.33</v>
      </c>
      <c r="H225" s="15"/>
      <c r="I225" s="16"/>
      <c r="J225" s="15"/>
      <c r="K225" s="16"/>
      <c r="L225" s="15"/>
      <c r="M225" s="16"/>
      <c r="N225" s="17"/>
      <c r="O225" s="16"/>
      <c r="P225" s="18">
        <f t="shared" si="3"/>
        <v>1.33</v>
      </c>
    </row>
    <row r="226" spans="2:16" x14ac:dyDescent="0.25">
      <c r="B226" s="12" t="s">
        <v>402</v>
      </c>
      <c r="C226" s="13" t="s">
        <v>403</v>
      </c>
      <c r="D226" s="14" t="s">
        <v>15</v>
      </c>
      <c r="E226" s="14" t="s">
        <v>16</v>
      </c>
      <c r="F226" s="15">
        <v>43605</v>
      </c>
      <c r="G226" s="16">
        <v>0.34</v>
      </c>
      <c r="H226" s="15"/>
      <c r="I226" s="16"/>
      <c r="J226" s="15"/>
      <c r="K226" s="16"/>
      <c r="L226" s="15"/>
      <c r="M226" s="16"/>
      <c r="N226" s="17"/>
      <c r="O226" s="16"/>
      <c r="P226" s="18">
        <f t="shared" si="3"/>
        <v>0.34</v>
      </c>
    </row>
    <row r="227" spans="2:16" x14ac:dyDescent="0.25">
      <c r="B227" s="12" t="s">
        <v>404</v>
      </c>
      <c r="C227" s="13" t="s">
        <v>405</v>
      </c>
      <c r="D227" s="14" t="s">
        <v>15</v>
      </c>
      <c r="E227" s="14" t="s">
        <v>16</v>
      </c>
      <c r="F227" s="29">
        <v>43565</v>
      </c>
      <c r="G227" s="71">
        <f>2.85*0.98526399</f>
        <v>2.8080023715000002</v>
      </c>
      <c r="H227" s="15"/>
      <c r="I227" s="16"/>
      <c r="J227" s="15"/>
      <c r="K227" s="16"/>
      <c r="L227" s="15"/>
      <c r="M227" s="16"/>
      <c r="N227" s="17"/>
      <c r="O227" s="16"/>
      <c r="P227" s="18">
        <f t="shared" si="3"/>
        <v>2.8080023715000002</v>
      </c>
    </row>
    <row r="228" spans="2:16" x14ac:dyDescent="0.25">
      <c r="B228" s="12" t="s">
        <v>406</v>
      </c>
      <c r="C228" s="13" t="s">
        <v>407</v>
      </c>
      <c r="D228" s="14" t="s">
        <v>24</v>
      </c>
      <c r="E228" s="14" t="s">
        <v>16</v>
      </c>
      <c r="F228" s="15">
        <v>43594</v>
      </c>
      <c r="G228" s="16">
        <v>3.07</v>
      </c>
      <c r="H228" s="15"/>
      <c r="I228" s="16"/>
      <c r="J228" s="15"/>
      <c r="K228" s="16"/>
      <c r="L228" s="15"/>
      <c r="M228" s="16"/>
      <c r="N228" s="17"/>
      <c r="O228" s="16"/>
      <c r="P228" s="18">
        <f t="shared" si="3"/>
        <v>3.07</v>
      </c>
    </row>
    <row r="229" spans="2:16" x14ac:dyDescent="0.25">
      <c r="B229" s="12" t="s">
        <v>408</v>
      </c>
      <c r="C229" s="13" t="s">
        <v>409</v>
      </c>
      <c r="D229" s="14" t="s">
        <v>15</v>
      </c>
      <c r="E229" s="14" t="s">
        <v>16</v>
      </c>
      <c r="F229" s="15">
        <v>43601</v>
      </c>
      <c r="G229" s="16">
        <v>1.5</v>
      </c>
      <c r="H229" s="15"/>
      <c r="I229" s="16"/>
      <c r="J229" s="15"/>
      <c r="K229" s="16"/>
      <c r="L229" s="15"/>
      <c r="M229" s="16"/>
      <c r="N229" s="17"/>
      <c r="O229" s="16"/>
      <c r="P229" s="18">
        <f t="shared" si="3"/>
        <v>1.5</v>
      </c>
    </row>
    <row r="230" spans="2:16" x14ac:dyDescent="0.25">
      <c r="B230" s="12" t="s">
        <v>410</v>
      </c>
      <c r="C230" s="13" t="s">
        <v>411</v>
      </c>
      <c r="D230" s="14" t="s">
        <v>15</v>
      </c>
      <c r="E230" s="14" t="s">
        <v>16</v>
      </c>
      <c r="F230" s="15">
        <v>43567</v>
      </c>
      <c r="G230" s="16">
        <v>0.37</v>
      </c>
      <c r="H230" s="15"/>
      <c r="I230" s="16"/>
      <c r="J230" s="15"/>
      <c r="K230" s="16"/>
      <c r="L230" s="15"/>
      <c r="M230" s="16"/>
      <c r="N230" s="17"/>
      <c r="O230" s="16"/>
      <c r="P230" s="18">
        <f t="shared" si="3"/>
        <v>0.37</v>
      </c>
    </row>
    <row r="231" spans="2:16" x14ac:dyDescent="0.25">
      <c r="B231" s="19" t="s">
        <v>559</v>
      </c>
      <c r="C231" s="20" t="s">
        <v>586</v>
      </c>
      <c r="D231" s="21" t="s">
        <v>55</v>
      </c>
      <c r="E231" s="22" t="s">
        <v>56</v>
      </c>
      <c r="F231" s="23">
        <v>43508</v>
      </c>
      <c r="G231" s="24">
        <v>0.5</v>
      </c>
      <c r="H231" s="23">
        <v>43620</v>
      </c>
      <c r="I231" s="24">
        <v>0.5</v>
      </c>
      <c r="J231" s="23">
        <v>43711</v>
      </c>
      <c r="K231" s="24">
        <v>0.5</v>
      </c>
      <c r="L231" s="23"/>
      <c r="M231" s="24"/>
      <c r="N231" s="25"/>
      <c r="O231" s="24"/>
      <c r="P231" s="26">
        <f t="shared" si="3"/>
        <v>1.5</v>
      </c>
    </row>
    <row r="232" spans="2:16" x14ac:dyDescent="0.25">
      <c r="B232" s="12" t="s">
        <v>412</v>
      </c>
      <c r="C232" s="13" t="s">
        <v>413</v>
      </c>
      <c r="D232" s="14" t="s">
        <v>24</v>
      </c>
      <c r="E232" s="14" t="s">
        <v>16</v>
      </c>
      <c r="F232" s="15">
        <v>43585</v>
      </c>
      <c r="G232" s="16">
        <v>2.35</v>
      </c>
      <c r="H232" s="15"/>
      <c r="I232" s="16"/>
      <c r="J232" s="15"/>
      <c r="K232" s="16"/>
      <c r="L232" s="15"/>
      <c r="M232" s="16"/>
      <c r="N232" s="17"/>
      <c r="O232" s="16"/>
      <c r="P232" s="18">
        <f t="shared" si="3"/>
        <v>2.35</v>
      </c>
    </row>
    <row r="233" spans="2:16" x14ac:dyDescent="0.25">
      <c r="B233" s="12" t="s">
        <v>414</v>
      </c>
      <c r="C233" s="13" t="s">
        <v>415</v>
      </c>
      <c r="D233" s="14" t="s">
        <v>24</v>
      </c>
      <c r="E233" s="14" t="s">
        <v>16</v>
      </c>
      <c r="F233" s="15">
        <v>43585</v>
      </c>
      <c r="G233" s="16">
        <v>1.75</v>
      </c>
      <c r="H233" s="15"/>
      <c r="I233" s="16"/>
      <c r="J233" s="15"/>
      <c r="K233" s="16"/>
      <c r="L233" s="15"/>
      <c r="M233" s="16"/>
      <c r="N233" s="17"/>
      <c r="O233" s="16"/>
      <c r="P233" s="18">
        <f t="shared" si="3"/>
        <v>1.75</v>
      </c>
    </row>
    <row r="234" spans="2:16" x14ac:dyDescent="0.25">
      <c r="B234" s="12" t="s">
        <v>416</v>
      </c>
      <c r="C234" s="13" t="s">
        <v>417</v>
      </c>
      <c r="D234" s="14" t="s">
        <v>237</v>
      </c>
      <c r="E234" s="14" t="s">
        <v>16</v>
      </c>
      <c r="F234" s="15">
        <v>43580</v>
      </c>
      <c r="G234" s="16">
        <v>0.51200000000000001</v>
      </c>
      <c r="H234" s="15"/>
      <c r="I234" s="16"/>
      <c r="J234" s="15"/>
      <c r="K234" s="16"/>
      <c r="L234" s="15"/>
      <c r="M234" s="16"/>
      <c r="N234" s="17"/>
      <c r="O234" s="16"/>
      <c r="P234" s="18">
        <f t="shared" si="3"/>
        <v>0.51200000000000001</v>
      </c>
    </row>
    <row r="235" spans="2:16" x14ac:dyDescent="0.25">
      <c r="B235" s="12" t="s">
        <v>418</v>
      </c>
      <c r="C235" s="13" t="s">
        <v>419</v>
      </c>
      <c r="D235" s="14" t="s">
        <v>15</v>
      </c>
      <c r="E235" s="14" t="s">
        <v>77</v>
      </c>
      <c r="F235" s="15">
        <v>43629</v>
      </c>
      <c r="G235" s="16">
        <v>56.02</v>
      </c>
      <c r="H235" s="15"/>
      <c r="I235" s="16"/>
      <c r="J235" s="15"/>
      <c r="K235" s="16"/>
      <c r="L235" s="15"/>
      <c r="M235" s="16"/>
      <c r="N235" s="17"/>
      <c r="O235" s="16"/>
      <c r="P235" s="18">
        <f t="shared" si="3"/>
        <v>56.02</v>
      </c>
    </row>
    <row r="236" spans="2:16" x14ac:dyDescent="0.25">
      <c r="B236" s="12" t="s">
        <v>420</v>
      </c>
      <c r="C236" s="13" t="s">
        <v>421</v>
      </c>
      <c r="D236" s="14" t="s">
        <v>15</v>
      </c>
      <c r="E236" s="14" t="s">
        <v>21</v>
      </c>
      <c r="F236" s="15">
        <v>43550</v>
      </c>
      <c r="G236" s="16">
        <v>78</v>
      </c>
      <c r="H236" s="15"/>
      <c r="I236" s="16"/>
      <c r="J236" s="15"/>
      <c r="K236" s="16"/>
      <c r="L236" s="15"/>
      <c r="M236" s="16"/>
      <c r="N236" s="17"/>
      <c r="O236" s="16"/>
      <c r="P236" s="18">
        <f t="shared" si="3"/>
        <v>78</v>
      </c>
    </row>
    <row r="237" spans="2:16" x14ac:dyDescent="0.25">
      <c r="B237" s="12" t="s">
        <v>424</v>
      </c>
      <c r="C237" s="13" t="s">
        <v>425</v>
      </c>
      <c r="D237" s="14" t="s">
        <v>15</v>
      </c>
      <c r="E237" s="14" t="s">
        <v>16</v>
      </c>
      <c r="F237" s="15">
        <v>43496</v>
      </c>
      <c r="G237" s="16">
        <v>3.8</v>
      </c>
      <c r="H237" s="15"/>
      <c r="I237" s="16"/>
      <c r="J237" s="15"/>
      <c r="K237" s="16"/>
      <c r="L237" s="15"/>
      <c r="M237" s="63"/>
      <c r="N237" s="17"/>
      <c r="O237" s="16"/>
      <c r="P237" s="18">
        <f t="shared" si="3"/>
        <v>3.8</v>
      </c>
    </row>
    <row r="238" spans="2:16" x14ac:dyDescent="0.25">
      <c r="B238" s="12" t="s">
        <v>426</v>
      </c>
      <c r="C238" s="13" t="s">
        <v>427</v>
      </c>
      <c r="D238" s="14" t="s">
        <v>15</v>
      </c>
      <c r="E238" s="14" t="s">
        <v>200</v>
      </c>
      <c r="F238" s="105">
        <v>43551</v>
      </c>
      <c r="G238" s="106">
        <f>6*0.99438833</f>
        <v>5.9663299800000003</v>
      </c>
      <c r="H238" s="15"/>
      <c r="I238" s="16"/>
      <c r="J238" s="15"/>
      <c r="K238" s="16"/>
      <c r="L238" s="15"/>
      <c r="M238" s="63"/>
      <c r="N238" s="17"/>
      <c r="O238" s="16"/>
      <c r="P238" s="18">
        <f t="shared" si="3"/>
        <v>5.9663299800000003</v>
      </c>
    </row>
    <row r="239" spans="2:16" ht="15.75" thickBot="1" x14ac:dyDescent="0.3">
      <c r="B239" s="31" t="s">
        <v>430</v>
      </c>
      <c r="C239" s="32" t="s">
        <v>431</v>
      </c>
      <c r="D239" s="39" t="s">
        <v>15</v>
      </c>
      <c r="E239" s="39" t="s">
        <v>16</v>
      </c>
      <c r="F239" s="40">
        <v>43486</v>
      </c>
      <c r="G239" s="41">
        <v>9.0499999999999997E-2</v>
      </c>
      <c r="H239" s="40">
        <v>43640</v>
      </c>
      <c r="I239" s="41">
        <v>0.1358</v>
      </c>
      <c r="J239" s="40"/>
      <c r="K239" s="41"/>
      <c r="L239" s="40"/>
      <c r="M239" s="79"/>
      <c r="N239" s="42"/>
      <c r="O239" s="41"/>
      <c r="P239" s="43">
        <f t="shared" si="3"/>
        <v>0.2263</v>
      </c>
    </row>
    <row r="240" spans="2:16" x14ac:dyDescent="0.25">
      <c r="B240" s="50" t="s">
        <v>432</v>
      </c>
      <c r="C240" s="51" t="s">
        <v>433</v>
      </c>
      <c r="D240" s="52" t="s">
        <v>15</v>
      </c>
      <c r="E240" s="52" t="s">
        <v>16</v>
      </c>
      <c r="F240" s="53"/>
      <c r="G240" s="54"/>
      <c r="H240" s="53"/>
      <c r="I240" s="54"/>
      <c r="J240" s="53"/>
      <c r="K240" s="54"/>
      <c r="L240" s="53"/>
      <c r="M240" s="81"/>
      <c r="N240" s="55"/>
      <c r="O240" s="54"/>
      <c r="P240" s="70">
        <f>0.2*(G240+I240+K240+M240+O240)</f>
        <v>0</v>
      </c>
    </row>
    <row r="241" spans="2:16" ht="15.75" thickBot="1" x14ac:dyDescent="0.3">
      <c r="B241" s="56" t="s">
        <v>434</v>
      </c>
      <c r="C241" s="57" t="s">
        <v>433</v>
      </c>
      <c r="D241" s="58" t="s">
        <v>15</v>
      </c>
      <c r="E241" s="58" t="s">
        <v>16</v>
      </c>
      <c r="F241" s="59">
        <v>43486</v>
      </c>
      <c r="G241" s="60">
        <v>9.0499999999999997E-2</v>
      </c>
      <c r="H241" s="59">
        <v>43640</v>
      </c>
      <c r="I241" s="60">
        <v>0.1358</v>
      </c>
      <c r="J241" s="59"/>
      <c r="K241" s="60"/>
      <c r="L241" s="59"/>
      <c r="M241" s="82"/>
      <c r="N241" s="61"/>
      <c r="O241" s="60"/>
      <c r="P241" s="62">
        <f>(G241+I241+K241+M241+O241)+P240</f>
        <v>0.2263</v>
      </c>
    </row>
    <row r="242" spans="2:16" x14ac:dyDescent="0.25">
      <c r="B242" s="44" t="s">
        <v>435</v>
      </c>
      <c r="C242" s="35" t="s">
        <v>436</v>
      </c>
      <c r="D242" s="45" t="s">
        <v>24</v>
      </c>
      <c r="E242" s="45" t="s">
        <v>16</v>
      </c>
      <c r="F242" s="46">
        <v>43612</v>
      </c>
      <c r="G242" s="47">
        <v>2.2000000000000002</v>
      </c>
      <c r="H242" s="46"/>
      <c r="I242" s="47"/>
      <c r="J242" s="46"/>
      <c r="K242" s="47"/>
      <c r="L242" s="46"/>
      <c r="M242" s="80"/>
      <c r="N242" s="48"/>
      <c r="O242" s="47"/>
      <c r="P242" s="49">
        <f t="shared" si="3"/>
        <v>2.2000000000000002</v>
      </c>
    </row>
    <row r="243" spans="2:16" x14ac:dyDescent="0.25">
      <c r="B243" s="12" t="s">
        <v>437</v>
      </c>
      <c r="C243" s="13" t="s">
        <v>438</v>
      </c>
      <c r="D243" s="14" t="s">
        <v>24</v>
      </c>
      <c r="E243" s="14" t="s">
        <v>16</v>
      </c>
      <c r="F243" s="15">
        <v>43495</v>
      </c>
      <c r="G243" s="16">
        <v>2.75</v>
      </c>
      <c r="H243" s="15"/>
      <c r="I243" s="16"/>
      <c r="J243" s="15"/>
      <c r="K243" s="16"/>
      <c r="L243" s="15"/>
      <c r="M243" s="63"/>
      <c r="N243" s="17"/>
      <c r="O243" s="16"/>
      <c r="P243" s="18">
        <f t="shared" si="3"/>
        <v>2.75</v>
      </c>
    </row>
    <row r="244" spans="2:16" x14ac:dyDescent="0.25">
      <c r="B244" s="12" t="s">
        <v>439</v>
      </c>
      <c r="C244" s="13" t="s">
        <v>440</v>
      </c>
      <c r="D244" s="14" t="s">
        <v>27</v>
      </c>
      <c r="E244" s="14" t="s">
        <v>16</v>
      </c>
      <c r="F244" s="15">
        <v>43480</v>
      </c>
      <c r="G244" s="16">
        <v>1.44</v>
      </c>
      <c r="H244" s="15">
        <v>43606</v>
      </c>
      <c r="I244" s="16">
        <v>2.31</v>
      </c>
      <c r="J244" s="15"/>
      <c r="K244" s="16"/>
      <c r="L244" s="15"/>
      <c r="M244" s="63"/>
      <c r="N244" s="17"/>
      <c r="O244" s="16"/>
      <c r="P244" s="18">
        <f t="shared" si="3"/>
        <v>3.75</v>
      </c>
    </row>
    <row r="245" spans="2:16" x14ac:dyDescent="0.25">
      <c r="B245" s="19" t="s">
        <v>443</v>
      </c>
      <c r="C245" s="20" t="s">
        <v>444</v>
      </c>
      <c r="D245" s="21" t="s">
        <v>55</v>
      </c>
      <c r="E245" s="22" t="s">
        <v>56</v>
      </c>
      <c r="F245" s="23">
        <v>43511</v>
      </c>
      <c r="G245" s="24">
        <v>0.6</v>
      </c>
      <c r="H245" s="23">
        <v>43602</v>
      </c>
      <c r="I245" s="24">
        <v>0.62</v>
      </c>
      <c r="J245" s="23">
        <v>43693</v>
      </c>
      <c r="K245" s="24">
        <v>0.62</v>
      </c>
      <c r="L245" s="23"/>
      <c r="M245" s="77"/>
      <c r="N245" s="25"/>
      <c r="O245" s="24"/>
      <c r="P245" s="26">
        <f t="shared" si="3"/>
        <v>1.8399999999999999</v>
      </c>
    </row>
    <row r="246" spans="2:16" x14ac:dyDescent="0.25">
      <c r="B246" s="12" t="s">
        <v>445</v>
      </c>
      <c r="C246" s="13" t="s">
        <v>446</v>
      </c>
      <c r="D246" s="14" t="s">
        <v>15</v>
      </c>
      <c r="E246" s="14" t="s">
        <v>77</v>
      </c>
      <c r="F246" s="15">
        <v>43482</v>
      </c>
      <c r="G246" s="16">
        <v>29.3</v>
      </c>
      <c r="H246" s="15">
        <v>43671</v>
      </c>
      <c r="I246" s="16">
        <v>68.2</v>
      </c>
      <c r="J246" s="15"/>
      <c r="K246" s="16"/>
      <c r="L246" s="15"/>
      <c r="M246" s="63"/>
      <c r="N246" s="17"/>
      <c r="O246" s="16"/>
      <c r="P246" s="18">
        <f t="shared" si="3"/>
        <v>97.5</v>
      </c>
    </row>
    <row r="247" spans="2:16" x14ac:dyDescent="0.25">
      <c r="B247" s="12" t="s">
        <v>447</v>
      </c>
      <c r="C247" s="13" t="s">
        <v>448</v>
      </c>
      <c r="D247" s="14" t="s">
        <v>15</v>
      </c>
      <c r="E247" s="14" t="s">
        <v>56</v>
      </c>
      <c r="F247" s="15">
        <v>43531</v>
      </c>
      <c r="G247" s="16">
        <v>0.15</v>
      </c>
      <c r="H247" s="15">
        <v>43685</v>
      </c>
      <c r="I247" s="16">
        <v>7.0000000000000007E-2</v>
      </c>
      <c r="J247" s="15"/>
      <c r="K247" s="16"/>
      <c r="L247" s="15"/>
      <c r="M247" s="63"/>
      <c r="N247" s="17"/>
      <c r="O247" s="16"/>
      <c r="P247" s="18">
        <f t="shared" si="3"/>
        <v>0.22</v>
      </c>
    </row>
    <row r="248" spans="2:16" x14ac:dyDescent="0.25">
      <c r="B248" s="19" t="s">
        <v>571</v>
      </c>
      <c r="C248" s="20" t="s">
        <v>598</v>
      </c>
      <c r="D248" s="21" t="s">
        <v>55</v>
      </c>
      <c r="E248" s="22" t="s">
        <v>56</v>
      </c>
      <c r="F248" s="23">
        <v>43502</v>
      </c>
      <c r="G248" s="24">
        <v>0.36</v>
      </c>
      <c r="H248" s="23">
        <v>43593</v>
      </c>
      <c r="I248" s="24">
        <v>0.36</v>
      </c>
      <c r="J248" s="23">
        <v>43684</v>
      </c>
      <c r="K248" s="24">
        <v>0.36</v>
      </c>
      <c r="L248" s="23"/>
      <c r="M248" s="77"/>
      <c r="N248" s="25"/>
      <c r="O248" s="24"/>
      <c r="P248" s="26">
        <f t="shared" si="3"/>
        <v>1.08</v>
      </c>
    </row>
    <row r="249" spans="2:16" x14ac:dyDescent="0.25">
      <c r="B249" s="12" t="s">
        <v>451</v>
      </c>
      <c r="C249" s="13" t="s">
        <v>452</v>
      </c>
      <c r="D249" s="14" t="s">
        <v>15</v>
      </c>
      <c r="E249" s="14" t="s">
        <v>56</v>
      </c>
      <c r="F249" s="15">
        <v>43542</v>
      </c>
      <c r="G249" s="16">
        <v>0.06</v>
      </c>
      <c r="H249" s="15">
        <v>43633</v>
      </c>
      <c r="I249" s="16">
        <v>0.06</v>
      </c>
      <c r="J249" s="15">
        <v>43724</v>
      </c>
      <c r="K249" s="16">
        <v>0.06</v>
      </c>
      <c r="L249" s="15"/>
      <c r="M249" s="16"/>
      <c r="N249" s="17"/>
      <c r="O249" s="16"/>
      <c r="P249" s="18">
        <f t="shared" si="3"/>
        <v>0.18</v>
      </c>
    </row>
    <row r="250" spans="2:16" x14ac:dyDescent="0.25">
      <c r="B250" s="12" t="s">
        <v>453</v>
      </c>
      <c r="C250" s="13" t="s">
        <v>454</v>
      </c>
      <c r="D250" s="14" t="s">
        <v>24</v>
      </c>
      <c r="E250" s="14" t="s">
        <v>16</v>
      </c>
      <c r="F250" s="15">
        <v>43605</v>
      </c>
      <c r="G250" s="16">
        <v>0.65</v>
      </c>
      <c r="H250" s="15"/>
      <c r="I250" s="16"/>
      <c r="J250" s="15"/>
      <c r="K250" s="16"/>
      <c r="L250" s="15"/>
      <c r="M250" s="63"/>
      <c r="N250" s="17"/>
      <c r="O250" s="16"/>
      <c r="P250" s="18">
        <f t="shared" si="3"/>
        <v>0.65</v>
      </c>
    </row>
    <row r="251" spans="2:16" x14ac:dyDescent="0.25">
      <c r="B251" s="12" t="s">
        <v>455</v>
      </c>
      <c r="C251" s="13" t="s">
        <v>456</v>
      </c>
      <c r="D251" s="14" t="s">
        <v>15</v>
      </c>
      <c r="E251" s="14" t="s">
        <v>200</v>
      </c>
      <c r="F251" s="15">
        <v>43552</v>
      </c>
      <c r="G251" s="16">
        <v>5.5</v>
      </c>
      <c r="H251" s="15"/>
      <c r="I251" s="16"/>
      <c r="J251" s="15"/>
      <c r="K251" s="16"/>
      <c r="L251" s="15"/>
      <c r="M251" s="63"/>
      <c r="N251" s="17"/>
      <c r="O251" s="16"/>
      <c r="P251" s="18">
        <f t="shared" si="3"/>
        <v>5.5</v>
      </c>
    </row>
    <row r="252" spans="2:16" x14ac:dyDescent="0.25">
      <c r="B252" s="12" t="s">
        <v>457</v>
      </c>
      <c r="C252" s="13" t="s">
        <v>458</v>
      </c>
      <c r="D252" s="14" t="s">
        <v>15</v>
      </c>
      <c r="E252" s="14" t="s">
        <v>200</v>
      </c>
      <c r="F252" s="15">
        <v>43553</v>
      </c>
      <c r="G252" s="16">
        <v>14.2</v>
      </c>
      <c r="H252" s="15"/>
      <c r="I252" s="16"/>
      <c r="J252" s="15"/>
      <c r="K252" s="16"/>
      <c r="L252" s="15"/>
      <c r="M252" s="63"/>
      <c r="N252" s="17"/>
      <c r="O252" s="16"/>
      <c r="P252" s="18">
        <f t="shared" si="3"/>
        <v>14.2</v>
      </c>
    </row>
    <row r="253" spans="2:16" x14ac:dyDescent="0.25">
      <c r="B253" s="12" t="s">
        <v>459</v>
      </c>
      <c r="C253" s="13" t="s">
        <v>460</v>
      </c>
      <c r="D253" s="14" t="s">
        <v>15</v>
      </c>
      <c r="E253" s="14" t="s">
        <v>200</v>
      </c>
      <c r="F253" s="15">
        <v>43565</v>
      </c>
      <c r="G253" s="16">
        <v>10.5</v>
      </c>
      <c r="H253" s="15"/>
      <c r="I253" s="16"/>
      <c r="J253" s="15"/>
      <c r="K253" s="16"/>
      <c r="L253" s="15"/>
      <c r="M253" s="63"/>
      <c r="N253" s="17"/>
      <c r="O253" s="16"/>
      <c r="P253" s="18">
        <f t="shared" si="3"/>
        <v>10.5</v>
      </c>
    </row>
    <row r="254" spans="2:16" x14ac:dyDescent="0.25">
      <c r="B254" s="12" t="s">
        <v>461</v>
      </c>
      <c r="C254" s="13" t="s">
        <v>462</v>
      </c>
      <c r="D254" s="14" t="s">
        <v>15</v>
      </c>
      <c r="E254" s="14" t="s">
        <v>21</v>
      </c>
      <c r="F254" s="15">
        <v>43578</v>
      </c>
      <c r="G254" s="16">
        <v>5.6</v>
      </c>
      <c r="H254" s="15"/>
      <c r="I254" s="16"/>
      <c r="J254" s="15"/>
      <c r="K254" s="16"/>
      <c r="L254" s="15"/>
      <c r="M254" s="63"/>
      <c r="N254" s="17"/>
      <c r="O254" s="16"/>
      <c r="P254" s="18">
        <f t="shared" si="3"/>
        <v>5.6</v>
      </c>
    </row>
    <row r="255" spans="2:16" x14ac:dyDescent="0.25">
      <c r="B255" s="12" t="s">
        <v>463</v>
      </c>
      <c r="C255" s="13" t="s">
        <v>464</v>
      </c>
      <c r="D255" s="14" t="s">
        <v>15</v>
      </c>
      <c r="E255" s="14" t="s">
        <v>21</v>
      </c>
      <c r="F255" s="15">
        <v>43559</v>
      </c>
      <c r="G255" s="16">
        <v>22</v>
      </c>
      <c r="H255" s="15"/>
      <c r="I255" s="16"/>
      <c r="J255" s="15"/>
      <c r="K255" s="16"/>
      <c r="L255" s="15"/>
      <c r="M255" s="63"/>
      <c r="N255" s="17"/>
      <c r="O255" s="16"/>
      <c r="P255" s="18">
        <f t="shared" si="3"/>
        <v>22</v>
      </c>
    </row>
    <row r="256" spans="2:16" x14ac:dyDescent="0.25">
      <c r="B256" s="12" t="s">
        <v>465</v>
      </c>
      <c r="C256" s="13" t="s">
        <v>466</v>
      </c>
      <c r="D256" s="14" t="s">
        <v>24</v>
      </c>
      <c r="E256" s="14" t="s">
        <v>16</v>
      </c>
      <c r="F256" s="15">
        <v>43177</v>
      </c>
      <c r="G256" s="16">
        <f>0.13/1.1308</f>
        <v>0.11496285815351963</v>
      </c>
      <c r="H256" s="15">
        <v>43605</v>
      </c>
      <c r="I256" s="16">
        <f>0.13/1.1172</f>
        <v>0.1163623344074472</v>
      </c>
      <c r="J256" s="15">
        <v>43696</v>
      </c>
      <c r="K256" s="16">
        <f>0.13/1.1076</f>
        <v>0.11737089201877936</v>
      </c>
      <c r="L256" s="15"/>
      <c r="M256" s="63"/>
      <c r="N256" s="17"/>
      <c r="O256" s="16"/>
      <c r="P256" s="18">
        <f t="shared" si="3"/>
        <v>0.34869608457974621</v>
      </c>
    </row>
    <row r="257" spans="2:16" x14ac:dyDescent="0.25">
      <c r="B257" s="12" t="s">
        <v>467</v>
      </c>
      <c r="C257" s="13" t="s">
        <v>468</v>
      </c>
      <c r="D257" s="14" t="s">
        <v>15</v>
      </c>
      <c r="E257" s="14" t="s">
        <v>200</v>
      </c>
      <c r="F257" s="133">
        <v>43592</v>
      </c>
      <c r="G257" s="132">
        <f>2.2*0.95790951</f>
        <v>2.1074009220000001</v>
      </c>
      <c r="H257" s="15">
        <v>43739</v>
      </c>
      <c r="I257" s="16">
        <v>2.2000000000000002</v>
      </c>
      <c r="J257" s="15"/>
      <c r="K257" s="16"/>
      <c r="L257" s="15"/>
      <c r="M257" s="63"/>
      <c r="N257" s="17"/>
      <c r="O257" s="16"/>
      <c r="P257" s="18">
        <f t="shared" si="3"/>
        <v>4.3074009220000002</v>
      </c>
    </row>
    <row r="258" spans="2:16" x14ac:dyDescent="0.25">
      <c r="B258" s="12" t="s">
        <v>691</v>
      </c>
      <c r="C258" s="13" t="s">
        <v>690</v>
      </c>
      <c r="D258" s="14" t="s">
        <v>15</v>
      </c>
      <c r="E258" s="14" t="s">
        <v>200</v>
      </c>
      <c r="F258" s="133">
        <v>43592</v>
      </c>
      <c r="G258" s="106">
        <f>2.2*0.95790951</f>
        <v>2.1074009220000001</v>
      </c>
      <c r="H258" s="15">
        <v>43739</v>
      </c>
      <c r="I258" s="16">
        <v>2.2000000000000002</v>
      </c>
      <c r="J258" s="15"/>
      <c r="K258" s="16"/>
      <c r="L258" s="15"/>
      <c r="M258" s="63"/>
      <c r="N258" s="17"/>
      <c r="O258" s="16"/>
      <c r="P258" s="18">
        <f t="shared" si="3"/>
        <v>4.3074009220000002</v>
      </c>
    </row>
    <row r="259" spans="2:16" x14ac:dyDescent="0.25">
      <c r="B259" s="12" t="s">
        <v>469</v>
      </c>
      <c r="C259" s="13" t="s">
        <v>470</v>
      </c>
      <c r="D259" s="14" t="s">
        <v>15</v>
      </c>
      <c r="E259" s="14" t="s">
        <v>16</v>
      </c>
      <c r="F259" s="15"/>
      <c r="G259" s="16"/>
      <c r="H259" s="15"/>
      <c r="I259" s="16"/>
      <c r="J259" s="15"/>
      <c r="K259" s="16"/>
      <c r="L259" s="15"/>
      <c r="M259" s="63"/>
      <c r="N259" s="17"/>
      <c r="O259" s="16"/>
      <c r="P259" s="18">
        <f t="shared" si="3"/>
        <v>0</v>
      </c>
    </row>
    <row r="260" spans="2:16" x14ac:dyDescent="0.25">
      <c r="B260" s="12" t="s">
        <v>471</v>
      </c>
      <c r="C260" s="13" t="s">
        <v>472</v>
      </c>
      <c r="D260" s="14" t="s">
        <v>15</v>
      </c>
      <c r="E260" s="14" t="s">
        <v>16</v>
      </c>
      <c r="F260" s="15">
        <v>43634</v>
      </c>
      <c r="G260" s="16">
        <v>0.2</v>
      </c>
      <c r="H260" s="15"/>
      <c r="I260" s="16"/>
      <c r="J260" s="15"/>
      <c r="K260" s="16"/>
      <c r="L260" s="15"/>
      <c r="M260" s="63"/>
      <c r="N260" s="17"/>
      <c r="O260" s="16"/>
      <c r="P260" s="18">
        <f t="shared" si="3"/>
        <v>0.2</v>
      </c>
    </row>
    <row r="261" spans="2:16" x14ac:dyDescent="0.25">
      <c r="B261" s="12" t="s">
        <v>473</v>
      </c>
      <c r="C261" s="13" t="s">
        <v>474</v>
      </c>
      <c r="D261" s="14" t="s">
        <v>15</v>
      </c>
      <c r="E261" s="14" t="s">
        <v>475</v>
      </c>
      <c r="F261" s="15">
        <v>43593</v>
      </c>
      <c r="G261" s="16">
        <v>4.4000000000000004</v>
      </c>
      <c r="H261" s="15">
        <v>43748</v>
      </c>
      <c r="I261" s="16">
        <v>4</v>
      </c>
      <c r="J261" s="15"/>
      <c r="K261" s="16"/>
      <c r="L261" s="15"/>
      <c r="M261" s="63"/>
      <c r="N261" s="17"/>
      <c r="O261" s="16"/>
      <c r="P261" s="18">
        <f t="shared" si="3"/>
        <v>8.4</v>
      </c>
    </row>
    <row r="262" spans="2:16" x14ac:dyDescent="0.25">
      <c r="B262" s="12" t="s">
        <v>476</v>
      </c>
      <c r="C262" s="13" t="s">
        <v>477</v>
      </c>
      <c r="D262" s="14" t="s">
        <v>15</v>
      </c>
      <c r="E262" s="14" t="s">
        <v>200</v>
      </c>
      <c r="F262" s="15">
        <v>43566</v>
      </c>
      <c r="G262" s="16">
        <v>1.18</v>
      </c>
      <c r="H262" s="15">
        <v>43761</v>
      </c>
      <c r="I262" s="16">
        <v>1.18</v>
      </c>
      <c r="J262" s="15"/>
      <c r="K262" s="16"/>
      <c r="L262" s="15"/>
      <c r="M262" s="63"/>
      <c r="N262" s="17"/>
      <c r="O262" s="16"/>
      <c r="P262" s="18">
        <f t="shared" si="3"/>
        <v>2.36</v>
      </c>
    </row>
    <row r="263" spans="2:16" x14ac:dyDescent="0.25">
      <c r="B263" s="12" t="s">
        <v>478</v>
      </c>
      <c r="C263" s="13" t="s">
        <v>479</v>
      </c>
      <c r="D263" s="14" t="s">
        <v>15</v>
      </c>
      <c r="E263" s="14" t="s">
        <v>16</v>
      </c>
      <c r="F263" s="15">
        <v>43640</v>
      </c>
      <c r="G263" s="16">
        <v>0.1545</v>
      </c>
      <c r="H263" s="15"/>
      <c r="I263" s="16"/>
      <c r="J263" s="15"/>
      <c r="K263" s="16"/>
      <c r="L263" s="15"/>
      <c r="M263" s="63"/>
      <c r="N263" s="17"/>
      <c r="O263" s="16"/>
      <c r="P263" s="18">
        <f t="shared" si="3"/>
        <v>0.1545</v>
      </c>
    </row>
    <row r="264" spans="2:16" x14ac:dyDescent="0.25">
      <c r="B264" s="19" t="s">
        <v>576</v>
      </c>
      <c r="C264" s="20" t="s">
        <v>603</v>
      </c>
      <c r="D264" s="21" t="s">
        <v>55</v>
      </c>
      <c r="E264" s="22" t="s">
        <v>56</v>
      </c>
      <c r="F264" s="23">
        <v>43495</v>
      </c>
      <c r="G264" s="24">
        <v>0.77</v>
      </c>
      <c r="H264" s="23">
        <v>43588</v>
      </c>
      <c r="I264" s="24">
        <v>0.77</v>
      </c>
      <c r="J264" s="23">
        <v>43676</v>
      </c>
      <c r="K264" s="24">
        <v>0.77</v>
      </c>
      <c r="L264" s="23">
        <v>43768</v>
      </c>
      <c r="M264" s="77">
        <v>0.09</v>
      </c>
      <c r="N264" s="25"/>
      <c r="O264" s="24"/>
      <c r="P264" s="26">
        <f t="shared" si="3"/>
        <v>2.4</v>
      </c>
    </row>
    <row r="265" spans="2:16" x14ac:dyDescent="0.25">
      <c r="B265" s="12" t="s">
        <v>480</v>
      </c>
      <c r="C265" s="13" t="s">
        <v>481</v>
      </c>
      <c r="D265" s="14" t="s">
        <v>237</v>
      </c>
      <c r="E265" s="14" t="s">
        <v>16</v>
      </c>
      <c r="F265" s="15">
        <v>43573</v>
      </c>
      <c r="G265" s="16">
        <v>0.27943000000000001</v>
      </c>
      <c r="H265" s="15"/>
      <c r="I265" s="16"/>
      <c r="J265" s="15"/>
      <c r="K265" s="16"/>
      <c r="L265" s="15"/>
      <c r="M265" s="63"/>
      <c r="N265" s="17"/>
      <c r="O265" s="16"/>
      <c r="P265" s="18">
        <f t="shared" si="3"/>
        <v>0.27943000000000001</v>
      </c>
    </row>
    <row r="266" spans="2:16" x14ac:dyDescent="0.25">
      <c r="B266" s="12" t="s">
        <v>482</v>
      </c>
      <c r="C266" s="13" t="s">
        <v>483</v>
      </c>
      <c r="D266" s="14" t="s">
        <v>15</v>
      </c>
      <c r="E266" s="14" t="s">
        <v>21</v>
      </c>
      <c r="F266" s="15">
        <v>43612</v>
      </c>
      <c r="G266" s="16">
        <v>8</v>
      </c>
      <c r="H266" s="15"/>
      <c r="I266" s="16"/>
      <c r="J266" s="15"/>
      <c r="K266" s="16"/>
      <c r="L266" s="15"/>
      <c r="M266" s="63"/>
      <c r="N266" s="17"/>
      <c r="O266" s="16"/>
      <c r="P266" s="18">
        <f t="shared" si="3"/>
        <v>8</v>
      </c>
    </row>
    <row r="267" spans="2:16" x14ac:dyDescent="0.25">
      <c r="B267" s="12" t="s">
        <v>484</v>
      </c>
      <c r="C267" s="13" t="s">
        <v>485</v>
      </c>
      <c r="D267" s="14" t="s">
        <v>15</v>
      </c>
      <c r="E267" s="14" t="s">
        <v>16</v>
      </c>
      <c r="F267" s="15">
        <v>43500</v>
      </c>
      <c r="G267" s="16">
        <v>0.15</v>
      </c>
      <c r="H267" s="15"/>
      <c r="I267" s="16"/>
      <c r="J267" s="15"/>
      <c r="K267" s="16"/>
      <c r="L267" s="15"/>
      <c r="M267" s="63"/>
      <c r="N267" s="17"/>
      <c r="O267" s="16"/>
      <c r="P267" s="18">
        <f t="shared" si="3"/>
        <v>0.15</v>
      </c>
    </row>
    <row r="268" spans="2:16" x14ac:dyDescent="0.25">
      <c r="B268" s="12" t="s">
        <v>486</v>
      </c>
      <c r="C268" s="13" t="s">
        <v>487</v>
      </c>
      <c r="D268" s="14" t="s">
        <v>15</v>
      </c>
      <c r="E268" s="14" t="s">
        <v>16</v>
      </c>
      <c r="F268" s="15">
        <v>43605</v>
      </c>
      <c r="G268" s="16">
        <v>1</v>
      </c>
      <c r="H268" s="15"/>
      <c r="I268" s="16"/>
      <c r="J268" s="15"/>
      <c r="K268" s="16"/>
      <c r="L268" s="15"/>
      <c r="M268" s="63"/>
      <c r="N268" s="17"/>
      <c r="O268" s="16"/>
      <c r="P268" s="18">
        <f t="shared" si="3"/>
        <v>1</v>
      </c>
    </row>
    <row r="269" spans="2:16" x14ac:dyDescent="0.25">
      <c r="B269" s="12" t="s">
        <v>488</v>
      </c>
      <c r="C269" s="13" t="s">
        <v>489</v>
      </c>
      <c r="D269" s="14" t="s">
        <v>24</v>
      </c>
      <c r="E269" s="14" t="s">
        <v>16</v>
      </c>
      <c r="F269" s="15">
        <v>43543</v>
      </c>
      <c r="G269" s="16">
        <v>0.64</v>
      </c>
      <c r="H269" s="15">
        <v>43627</v>
      </c>
      <c r="I269" s="16">
        <v>0.64</v>
      </c>
      <c r="J269" s="15">
        <v>43735</v>
      </c>
      <c r="K269" s="16">
        <v>0.66</v>
      </c>
      <c r="L269" s="15"/>
      <c r="M269" s="63"/>
      <c r="N269" s="17"/>
      <c r="O269" s="16"/>
      <c r="P269" s="18">
        <f t="shared" si="3"/>
        <v>1.94</v>
      </c>
    </row>
    <row r="270" spans="2:16" x14ac:dyDescent="0.25">
      <c r="B270" s="12" t="s">
        <v>490</v>
      </c>
      <c r="C270" s="13" t="s">
        <v>491</v>
      </c>
      <c r="D270" s="14" t="s">
        <v>15</v>
      </c>
      <c r="E270" s="14" t="s">
        <v>16</v>
      </c>
      <c r="F270" s="15">
        <v>43605</v>
      </c>
      <c r="G270" s="16">
        <v>0.12</v>
      </c>
      <c r="H270" s="15"/>
      <c r="I270" s="16"/>
      <c r="J270" s="15"/>
      <c r="K270" s="16"/>
      <c r="L270" s="15"/>
      <c r="M270" s="63"/>
      <c r="N270" s="17"/>
      <c r="O270" s="16"/>
      <c r="P270" s="18">
        <f t="shared" si="3"/>
        <v>0.12</v>
      </c>
    </row>
    <row r="271" spans="2:16" x14ac:dyDescent="0.25">
      <c r="B271" s="12" t="s">
        <v>492</v>
      </c>
      <c r="C271" s="13" t="s">
        <v>493</v>
      </c>
      <c r="D271" s="14" t="s">
        <v>15</v>
      </c>
      <c r="E271" s="14" t="s">
        <v>21</v>
      </c>
      <c r="F271" s="15">
        <v>43591</v>
      </c>
      <c r="G271" s="16">
        <v>0.7</v>
      </c>
      <c r="H271" s="15"/>
      <c r="I271" s="16"/>
      <c r="J271" s="15"/>
      <c r="K271" s="16"/>
      <c r="L271" s="15"/>
      <c r="M271" s="63"/>
      <c r="N271" s="17"/>
      <c r="O271" s="16"/>
      <c r="P271" s="18">
        <f t="shared" ref="P271:P302" si="4">G271+I271+K271+M271+O271</f>
        <v>0.7</v>
      </c>
    </row>
    <row r="272" spans="2:16" x14ac:dyDescent="0.25">
      <c r="B272" s="12" t="s">
        <v>494</v>
      </c>
      <c r="C272" s="13" t="s">
        <v>495</v>
      </c>
      <c r="D272" s="14" t="s">
        <v>27</v>
      </c>
      <c r="E272" s="14" t="s">
        <v>16</v>
      </c>
      <c r="F272" s="15">
        <v>43581</v>
      </c>
      <c r="G272" s="16">
        <v>1.21</v>
      </c>
      <c r="H272" s="15"/>
      <c r="I272" s="16"/>
      <c r="J272" s="15"/>
      <c r="K272" s="16"/>
      <c r="L272" s="15"/>
      <c r="M272" s="63"/>
      <c r="N272" s="17"/>
      <c r="O272" s="16"/>
      <c r="P272" s="18">
        <f t="shared" si="4"/>
        <v>1.21</v>
      </c>
    </row>
    <row r="273" spans="2:16" x14ac:dyDescent="0.25">
      <c r="B273" s="12" t="s">
        <v>496</v>
      </c>
      <c r="C273" s="13" t="s">
        <v>497</v>
      </c>
      <c r="D273" s="14" t="s">
        <v>27</v>
      </c>
      <c r="E273" s="14" t="s">
        <v>16</v>
      </c>
      <c r="F273" s="15">
        <v>43584</v>
      </c>
      <c r="G273" s="16">
        <v>0.4</v>
      </c>
      <c r="H273" s="15">
        <v>43700</v>
      </c>
      <c r="I273" s="16">
        <v>0.375</v>
      </c>
      <c r="J273" s="15"/>
      <c r="K273" s="16"/>
      <c r="L273" s="15"/>
      <c r="M273" s="63"/>
      <c r="N273" s="17"/>
      <c r="O273" s="16"/>
      <c r="P273" s="18">
        <f t="shared" si="4"/>
        <v>0.77500000000000002</v>
      </c>
    </row>
    <row r="274" spans="2:16" x14ac:dyDescent="0.25">
      <c r="B274" s="12" t="s">
        <v>622</v>
      </c>
      <c r="C274" s="13" t="s">
        <v>499</v>
      </c>
      <c r="D274" s="14" t="s">
        <v>15</v>
      </c>
      <c r="E274" s="14" t="s">
        <v>16</v>
      </c>
      <c r="F274" s="15">
        <v>43551</v>
      </c>
      <c r="G274" s="16">
        <v>5.4</v>
      </c>
      <c r="H274" s="15">
        <v>43649</v>
      </c>
      <c r="I274" s="16">
        <v>5.4</v>
      </c>
      <c r="J274" s="15"/>
      <c r="K274" s="16"/>
      <c r="L274" s="15"/>
      <c r="M274" s="63"/>
      <c r="N274" s="17"/>
      <c r="O274" s="16"/>
      <c r="P274" s="18">
        <f t="shared" si="4"/>
        <v>10.8</v>
      </c>
    </row>
    <row r="275" spans="2:16" x14ac:dyDescent="0.25">
      <c r="B275" s="12" t="s">
        <v>500</v>
      </c>
      <c r="C275" s="13" t="s">
        <v>501</v>
      </c>
      <c r="D275" s="14" t="s">
        <v>15</v>
      </c>
      <c r="E275" s="14" t="s">
        <v>16</v>
      </c>
      <c r="F275" s="15">
        <v>43578</v>
      </c>
      <c r="G275" s="16">
        <v>0.27</v>
      </c>
      <c r="H275" s="15"/>
      <c r="I275" s="16"/>
      <c r="J275" s="15"/>
      <c r="K275" s="16"/>
      <c r="L275" s="15"/>
      <c r="M275" s="63"/>
      <c r="N275" s="17"/>
      <c r="O275" s="16"/>
      <c r="P275" s="18">
        <f t="shared" si="4"/>
        <v>0.27</v>
      </c>
    </row>
    <row r="276" spans="2:16" x14ac:dyDescent="0.25">
      <c r="B276" s="12" t="s">
        <v>504</v>
      </c>
      <c r="C276" s="13" t="s">
        <v>505</v>
      </c>
      <c r="D276" s="14" t="s">
        <v>15</v>
      </c>
      <c r="E276" s="14" t="s">
        <v>16</v>
      </c>
      <c r="F276" s="15">
        <v>43510</v>
      </c>
      <c r="G276" s="16">
        <v>0.38719999999999999</v>
      </c>
      <c r="H276" s="15">
        <v>43587</v>
      </c>
      <c r="I276" s="16">
        <v>0.41039999999999999</v>
      </c>
      <c r="J276" s="15">
        <v>43685</v>
      </c>
      <c r="K276" s="16">
        <v>0.41039999999999999</v>
      </c>
      <c r="L276" s="15">
        <v>43769</v>
      </c>
      <c r="M276" s="63">
        <v>0.41039999999999999</v>
      </c>
      <c r="N276" s="17"/>
      <c r="O276" s="16"/>
      <c r="P276" s="18">
        <f t="shared" si="4"/>
        <v>1.6183999999999998</v>
      </c>
    </row>
    <row r="277" spans="2:16" x14ac:dyDescent="0.25">
      <c r="B277" s="12" t="s">
        <v>506</v>
      </c>
      <c r="C277" s="13" t="s">
        <v>507</v>
      </c>
      <c r="D277" s="14" t="s">
        <v>15</v>
      </c>
      <c r="E277" s="14" t="s">
        <v>77</v>
      </c>
      <c r="F277" s="15">
        <v>43510</v>
      </c>
      <c r="G277" s="16">
        <v>33.61</v>
      </c>
      <c r="H277" s="15">
        <v>43587</v>
      </c>
      <c r="I277" s="16">
        <v>35.46</v>
      </c>
      <c r="J277" s="15">
        <v>43685</v>
      </c>
      <c r="K277" s="16">
        <v>36.82</v>
      </c>
      <c r="L277" s="15">
        <v>43769</v>
      </c>
      <c r="M277" s="63">
        <v>0.41039999999999999</v>
      </c>
      <c r="N277" s="17"/>
      <c r="O277" s="16"/>
      <c r="P277" s="18">
        <f t="shared" si="4"/>
        <v>106.30039999999998</v>
      </c>
    </row>
    <row r="278" spans="2:16" x14ac:dyDescent="0.25">
      <c r="B278" s="19" t="s">
        <v>569</v>
      </c>
      <c r="C278" s="20" t="s">
        <v>596</v>
      </c>
      <c r="D278" s="21" t="s">
        <v>55</v>
      </c>
      <c r="E278" s="22" t="s">
        <v>56</v>
      </c>
      <c r="F278" s="23">
        <v>43158</v>
      </c>
      <c r="G278" s="24">
        <v>0.88</v>
      </c>
      <c r="H278" s="23">
        <v>43615</v>
      </c>
      <c r="I278" s="24">
        <v>0.88</v>
      </c>
      <c r="J278" s="23">
        <v>43706</v>
      </c>
      <c r="K278" s="24">
        <v>0.97</v>
      </c>
      <c r="L278" s="23"/>
      <c r="M278" s="77"/>
      <c r="N278" s="25"/>
      <c r="O278" s="24"/>
      <c r="P278" s="26">
        <f t="shared" si="4"/>
        <v>2.73</v>
      </c>
    </row>
    <row r="279" spans="2:16" x14ac:dyDescent="0.25">
      <c r="B279" s="12" t="s">
        <v>508</v>
      </c>
      <c r="C279" s="13" t="s">
        <v>509</v>
      </c>
      <c r="D279" s="14" t="s">
        <v>15</v>
      </c>
      <c r="E279" s="14" t="s">
        <v>16</v>
      </c>
      <c r="F279" s="15">
        <v>43605</v>
      </c>
      <c r="G279" s="16">
        <v>0.14499999999999999</v>
      </c>
      <c r="H279" s="15"/>
      <c r="I279" s="16"/>
      <c r="J279" s="15"/>
      <c r="K279" s="16"/>
      <c r="L279" s="15"/>
      <c r="M279" s="63"/>
      <c r="N279" s="17"/>
      <c r="O279" s="16"/>
      <c r="P279" s="18">
        <f t="shared" si="4"/>
        <v>0.14499999999999999</v>
      </c>
    </row>
    <row r="280" spans="2:16" x14ac:dyDescent="0.25">
      <c r="B280" s="19" t="s">
        <v>573</v>
      </c>
      <c r="C280" s="20" t="s">
        <v>600</v>
      </c>
      <c r="D280" s="21" t="s">
        <v>55</v>
      </c>
      <c r="E280" s="22" t="s">
        <v>56</v>
      </c>
      <c r="F280" s="23">
        <v>43510</v>
      </c>
      <c r="G280" s="24">
        <v>0.73499999999999999</v>
      </c>
      <c r="H280" s="23">
        <v>43601</v>
      </c>
      <c r="I280" s="24">
        <v>0.73499999999999999</v>
      </c>
      <c r="J280" s="23">
        <v>43692</v>
      </c>
      <c r="K280" s="24">
        <v>0.73499999999999999</v>
      </c>
      <c r="L280" s="23"/>
      <c r="M280" s="77"/>
      <c r="N280" s="25"/>
      <c r="O280" s="24"/>
      <c r="P280" s="26">
        <f t="shared" si="4"/>
        <v>2.2050000000000001</v>
      </c>
    </row>
    <row r="281" spans="2:16" x14ac:dyDescent="0.25">
      <c r="B281" s="12" t="s">
        <v>510</v>
      </c>
      <c r="C281" s="13" t="s">
        <v>511</v>
      </c>
      <c r="D281" s="14" t="s">
        <v>15</v>
      </c>
      <c r="E281" s="14" t="s">
        <v>77</v>
      </c>
      <c r="F281" s="15" t="s">
        <v>687</v>
      </c>
      <c r="G281" s="16">
        <v>27.52</v>
      </c>
      <c r="H281" s="15"/>
      <c r="I281" s="16"/>
      <c r="J281" s="15"/>
      <c r="K281" s="16"/>
      <c r="L281" s="15"/>
      <c r="M281" s="63"/>
      <c r="N281" s="17"/>
      <c r="O281" s="16"/>
      <c r="P281" s="18">
        <f t="shared" si="4"/>
        <v>27.52</v>
      </c>
    </row>
    <row r="282" spans="2:16" x14ac:dyDescent="0.25">
      <c r="B282" s="19" t="s">
        <v>552</v>
      </c>
      <c r="C282" s="20" t="s">
        <v>579</v>
      </c>
      <c r="D282" s="21" t="s">
        <v>55</v>
      </c>
      <c r="E282" s="22" t="s">
        <v>56</v>
      </c>
      <c r="F282" s="23">
        <v>43532</v>
      </c>
      <c r="G282" s="24">
        <v>0.9</v>
      </c>
      <c r="H282" s="23">
        <v>43630</v>
      </c>
      <c r="I282" s="24">
        <v>1.08</v>
      </c>
      <c r="J282" s="23">
        <v>43721</v>
      </c>
      <c r="K282" s="24">
        <v>1.08</v>
      </c>
      <c r="L282" s="23"/>
      <c r="M282" s="77"/>
      <c r="N282" s="25"/>
      <c r="O282" s="24"/>
      <c r="P282" s="26">
        <f t="shared" si="4"/>
        <v>3.06</v>
      </c>
    </row>
    <row r="283" spans="2:16" x14ac:dyDescent="0.25">
      <c r="B283" s="19" t="s">
        <v>574</v>
      </c>
      <c r="C283" s="20" t="s">
        <v>601</v>
      </c>
      <c r="D283" s="21" t="s">
        <v>55</v>
      </c>
      <c r="E283" s="22" t="s">
        <v>56</v>
      </c>
      <c r="F283" s="23">
        <v>43552</v>
      </c>
      <c r="G283" s="24">
        <v>0.37</v>
      </c>
      <c r="H283" s="23">
        <v>43643</v>
      </c>
      <c r="I283" s="24">
        <v>0.37</v>
      </c>
      <c r="J283" s="23">
        <v>43735</v>
      </c>
      <c r="K283" s="24">
        <v>0.42</v>
      </c>
      <c r="L283" s="23"/>
      <c r="M283" s="77"/>
      <c r="N283" s="25"/>
      <c r="O283" s="24"/>
      <c r="P283" s="26">
        <f t="shared" si="4"/>
        <v>1.1599999999999999</v>
      </c>
    </row>
    <row r="284" spans="2:16" x14ac:dyDescent="0.25">
      <c r="B284" s="12" t="s">
        <v>512</v>
      </c>
      <c r="C284" s="13" t="s">
        <v>513</v>
      </c>
      <c r="D284" s="14" t="s">
        <v>24</v>
      </c>
      <c r="E284" s="14" t="s">
        <v>16</v>
      </c>
      <c r="F284" s="15">
        <v>43615</v>
      </c>
      <c r="G284" s="16">
        <v>1.25</v>
      </c>
      <c r="H284" s="15"/>
      <c r="I284" s="16"/>
      <c r="J284" s="15"/>
      <c r="K284" s="16"/>
      <c r="L284" s="15"/>
      <c r="M284" s="63"/>
      <c r="N284" s="17"/>
      <c r="O284" s="16"/>
      <c r="P284" s="18">
        <f t="shared" si="4"/>
        <v>1.25</v>
      </c>
    </row>
    <row r="285" spans="2:16" x14ac:dyDescent="0.25">
      <c r="B285" s="12" t="s">
        <v>514</v>
      </c>
      <c r="C285" s="13" t="s">
        <v>515</v>
      </c>
      <c r="D285" s="14" t="s">
        <v>24</v>
      </c>
      <c r="E285" s="14" t="s">
        <v>16</v>
      </c>
      <c r="F285" s="15"/>
      <c r="G285" s="16"/>
      <c r="H285" s="15"/>
      <c r="I285" s="16"/>
      <c r="J285" s="15"/>
      <c r="K285" s="16"/>
      <c r="L285" s="15"/>
      <c r="M285" s="63"/>
      <c r="N285" s="17"/>
      <c r="O285" s="16"/>
      <c r="P285" s="18">
        <f t="shared" si="4"/>
        <v>0</v>
      </c>
    </row>
    <row r="286" spans="2:16" x14ac:dyDescent="0.25">
      <c r="B286" s="12" t="s">
        <v>516</v>
      </c>
      <c r="C286" s="13" t="s">
        <v>517</v>
      </c>
      <c r="D286" s="14" t="s">
        <v>24</v>
      </c>
      <c r="E286" s="14" t="s">
        <v>16</v>
      </c>
      <c r="F286" s="15">
        <v>43599</v>
      </c>
      <c r="G286" s="16">
        <v>0.92</v>
      </c>
      <c r="H286" s="15"/>
      <c r="I286" s="16"/>
      <c r="J286" s="15"/>
      <c r="K286" s="16"/>
      <c r="L286" s="15"/>
      <c r="M286" s="63"/>
      <c r="N286" s="17"/>
      <c r="O286" s="16"/>
      <c r="P286" s="18">
        <f t="shared" si="4"/>
        <v>0.92</v>
      </c>
    </row>
    <row r="287" spans="2:16" x14ac:dyDescent="0.25">
      <c r="B287" s="19" t="s">
        <v>518</v>
      </c>
      <c r="C287" s="20" t="s">
        <v>519</v>
      </c>
      <c r="D287" s="21" t="s">
        <v>55</v>
      </c>
      <c r="E287" s="22" t="s">
        <v>56</v>
      </c>
      <c r="F287" s="23">
        <v>43564</v>
      </c>
      <c r="G287" s="24">
        <v>0.60250000000000004</v>
      </c>
      <c r="H287" s="23">
        <v>43655</v>
      </c>
      <c r="I287" s="24">
        <v>0.60250000000000004</v>
      </c>
      <c r="J287" s="23">
        <v>43747</v>
      </c>
      <c r="K287" s="24">
        <v>0.24</v>
      </c>
      <c r="L287" s="23"/>
      <c r="M287" s="77"/>
      <c r="N287" s="25"/>
      <c r="O287" s="24"/>
      <c r="P287" s="26">
        <f t="shared" si="4"/>
        <v>1.4450000000000001</v>
      </c>
    </row>
    <row r="288" spans="2:16" x14ac:dyDescent="0.25">
      <c r="B288" s="12" t="s">
        <v>520</v>
      </c>
      <c r="C288" s="13" t="s">
        <v>521</v>
      </c>
      <c r="D288" s="14" t="s">
        <v>24</v>
      </c>
      <c r="E288" s="14" t="s">
        <v>16</v>
      </c>
      <c r="F288" s="15">
        <v>43578</v>
      </c>
      <c r="G288" s="16">
        <v>1.92</v>
      </c>
      <c r="H288" s="15">
        <v>43774</v>
      </c>
      <c r="I288" s="16">
        <v>0.79</v>
      </c>
      <c r="J288" s="15"/>
      <c r="K288" s="16"/>
      <c r="L288" s="15"/>
      <c r="M288" s="63"/>
      <c r="N288" s="17"/>
      <c r="O288" s="16"/>
      <c r="P288" s="18">
        <f t="shared" si="4"/>
        <v>2.71</v>
      </c>
    </row>
    <row r="289" spans="2:16" x14ac:dyDescent="0.25">
      <c r="B289" s="19" t="s">
        <v>522</v>
      </c>
      <c r="C289" s="20" t="s">
        <v>523</v>
      </c>
      <c r="D289" s="21" t="s">
        <v>55</v>
      </c>
      <c r="E289" s="22" t="s">
        <v>56</v>
      </c>
      <c r="F289" s="23">
        <v>43510</v>
      </c>
      <c r="G289" s="24">
        <v>0.25</v>
      </c>
      <c r="H289" s="23">
        <v>43601</v>
      </c>
      <c r="I289" s="24">
        <v>0.25</v>
      </c>
      <c r="J289" s="23">
        <v>43692</v>
      </c>
      <c r="K289" s="24">
        <v>0.25</v>
      </c>
      <c r="L289" s="23"/>
      <c r="M289" s="77"/>
      <c r="N289" s="25"/>
      <c r="O289" s="24"/>
      <c r="P289" s="26">
        <f t="shared" si="4"/>
        <v>0.75</v>
      </c>
    </row>
    <row r="290" spans="2:16" x14ac:dyDescent="0.25">
      <c r="B290" s="12" t="s">
        <v>524</v>
      </c>
      <c r="C290" s="13" t="s">
        <v>525</v>
      </c>
      <c r="D290" s="14" t="s">
        <v>24</v>
      </c>
      <c r="E290" s="14" t="s">
        <v>16</v>
      </c>
      <c r="F290" s="15">
        <v>43571</v>
      </c>
      <c r="G290" s="16">
        <v>0.5</v>
      </c>
      <c r="H290" s="15"/>
      <c r="I290" s="16"/>
      <c r="J290" s="15"/>
      <c r="K290" s="16"/>
      <c r="L290" s="15"/>
      <c r="M290" s="63"/>
      <c r="N290" s="17"/>
      <c r="O290" s="16"/>
      <c r="P290" s="18">
        <f t="shared" si="4"/>
        <v>0.5</v>
      </c>
    </row>
    <row r="291" spans="2:16" x14ac:dyDescent="0.25">
      <c r="B291" s="12" t="s">
        <v>526</v>
      </c>
      <c r="C291" s="13" t="s">
        <v>527</v>
      </c>
      <c r="D291" s="14" t="s">
        <v>15</v>
      </c>
      <c r="E291" s="14" t="s">
        <v>77</v>
      </c>
      <c r="F291" s="15">
        <v>43622</v>
      </c>
      <c r="G291" s="16">
        <f>4.16*0.89545</f>
        <v>3.7250719999999999</v>
      </c>
      <c r="H291" s="15"/>
      <c r="I291" s="16"/>
      <c r="J291" s="15"/>
      <c r="K291" s="16"/>
      <c r="L291" s="15"/>
      <c r="M291" s="63"/>
      <c r="N291" s="17"/>
      <c r="O291" s="16"/>
      <c r="P291" s="18">
        <f t="shared" si="4"/>
        <v>3.7250719999999999</v>
      </c>
    </row>
    <row r="292" spans="2:16" x14ac:dyDescent="0.25">
      <c r="B292" s="12" t="s">
        <v>528</v>
      </c>
      <c r="C292" s="13" t="s">
        <v>529</v>
      </c>
      <c r="D292" s="14" t="s">
        <v>15</v>
      </c>
      <c r="E292" s="14" t="s">
        <v>16</v>
      </c>
      <c r="F292" s="15">
        <v>43600</v>
      </c>
      <c r="G292" s="16">
        <v>4.8600000000000003</v>
      </c>
      <c r="H292" s="15"/>
      <c r="I292" s="16"/>
      <c r="J292" s="15"/>
      <c r="K292" s="16"/>
      <c r="L292" s="15"/>
      <c r="M292" s="63"/>
      <c r="N292" s="17"/>
      <c r="O292" s="16"/>
      <c r="P292" s="18">
        <f t="shared" si="4"/>
        <v>4.8600000000000003</v>
      </c>
    </row>
    <row r="293" spans="2:16" x14ac:dyDescent="0.25">
      <c r="B293" s="12" t="s">
        <v>530</v>
      </c>
      <c r="C293" s="13" t="s">
        <v>531</v>
      </c>
      <c r="D293" s="14" t="s">
        <v>15</v>
      </c>
      <c r="E293" s="14" t="s">
        <v>200</v>
      </c>
      <c r="F293" s="29">
        <v>43559</v>
      </c>
      <c r="G293" s="71">
        <f>5*0.96629592</f>
        <v>4.8314795999999998</v>
      </c>
      <c r="H293" s="15"/>
      <c r="I293" s="16"/>
      <c r="J293" s="15"/>
      <c r="K293" s="16"/>
      <c r="L293" s="15"/>
      <c r="M293" s="63"/>
      <c r="N293" s="17"/>
      <c r="O293" s="16"/>
      <c r="P293" s="18">
        <f t="shared" si="4"/>
        <v>4.8314795999999998</v>
      </c>
    </row>
    <row r="294" spans="2:16" x14ac:dyDescent="0.25">
      <c r="B294" s="12" t="s">
        <v>532</v>
      </c>
      <c r="C294" s="13" t="s">
        <v>533</v>
      </c>
      <c r="D294" s="14" t="s">
        <v>15</v>
      </c>
      <c r="E294" s="14" t="s">
        <v>16</v>
      </c>
      <c r="F294" s="15">
        <v>43602</v>
      </c>
      <c r="G294" s="16">
        <v>1.44</v>
      </c>
      <c r="H294" s="15"/>
      <c r="I294" s="16"/>
      <c r="J294" s="15"/>
      <c r="K294" s="16"/>
      <c r="L294" s="15"/>
      <c r="M294" s="63"/>
      <c r="N294" s="17"/>
      <c r="O294" s="16"/>
      <c r="P294" s="18">
        <f t="shared" si="4"/>
        <v>1.44</v>
      </c>
    </row>
    <row r="295" spans="2:16" x14ac:dyDescent="0.25">
      <c r="B295" s="12" t="s">
        <v>534</v>
      </c>
      <c r="C295" s="13" t="s">
        <v>535</v>
      </c>
      <c r="D295" s="14" t="s">
        <v>15</v>
      </c>
      <c r="E295" s="14" t="s">
        <v>16</v>
      </c>
      <c r="F295" s="15">
        <v>43578</v>
      </c>
      <c r="G295" s="16">
        <v>1.1000000000000001</v>
      </c>
      <c r="H295" s="15"/>
      <c r="I295" s="16"/>
      <c r="J295" s="15"/>
      <c r="K295" s="16"/>
      <c r="L295" s="15"/>
      <c r="M295" s="63"/>
      <c r="N295" s="17"/>
      <c r="O295" s="16"/>
      <c r="P295" s="18">
        <f t="shared" si="4"/>
        <v>1.1000000000000001</v>
      </c>
    </row>
    <row r="296" spans="2:16" x14ac:dyDescent="0.25">
      <c r="B296" s="19" t="s">
        <v>631</v>
      </c>
      <c r="C296" s="20" t="s">
        <v>587</v>
      </c>
      <c r="D296" s="21" t="s">
        <v>55</v>
      </c>
      <c r="E296" s="22" t="s">
        <v>56</v>
      </c>
      <c r="F296" s="23">
        <v>43538</v>
      </c>
      <c r="G296" s="24">
        <v>0.53</v>
      </c>
      <c r="H296" s="23">
        <v>43594</v>
      </c>
      <c r="I296" s="24">
        <v>0.53</v>
      </c>
      <c r="J296" s="23">
        <v>43685</v>
      </c>
      <c r="K296" s="24">
        <v>0.53</v>
      </c>
      <c r="L296" s="23"/>
      <c r="M296" s="77"/>
      <c r="N296" s="25"/>
      <c r="O296" s="24"/>
      <c r="P296" s="26">
        <f t="shared" si="4"/>
        <v>1.59</v>
      </c>
    </row>
    <row r="297" spans="2:16" x14ac:dyDescent="0.25">
      <c r="B297" s="19" t="s">
        <v>536</v>
      </c>
      <c r="C297" s="20" t="s">
        <v>537</v>
      </c>
      <c r="D297" s="21" t="s">
        <v>55</v>
      </c>
      <c r="E297" s="22" t="s">
        <v>56</v>
      </c>
      <c r="F297" s="23">
        <v>43651</v>
      </c>
      <c r="G297" s="24">
        <v>0.88</v>
      </c>
      <c r="H297" s="23"/>
      <c r="I297" s="24"/>
      <c r="J297" s="23"/>
      <c r="K297" s="24"/>
      <c r="L297" s="23"/>
      <c r="M297" s="77"/>
      <c r="N297" s="25"/>
      <c r="O297" s="24"/>
      <c r="P297" s="26">
        <f t="shared" si="4"/>
        <v>0.88</v>
      </c>
    </row>
    <row r="298" spans="2:16" x14ac:dyDescent="0.25">
      <c r="B298" s="19" t="s">
        <v>538</v>
      </c>
      <c r="C298" s="20" t="s">
        <v>539</v>
      </c>
      <c r="D298" s="21" t="s">
        <v>55</v>
      </c>
      <c r="E298" s="22" t="s">
        <v>56</v>
      </c>
      <c r="F298" s="23">
        <v>43496</v>
      </c>
      <c r="G298" s="24">
        <v>0.45</v>
      </c>
      <c r="H298" s="23">
        <v>43594</v>
      </c>
      <c r="I298" s="24">
        <v>0.45</v>
      </c>
      <c r="J298" s="23">
        <v>43685</v>
      </c>
      <c r="K298" s="24">
        <v>0.51</v>
      </c>
      <c r="L298" s="23">
        <v>43776</v>
      </c>
      <c r="M298" s="24">
        <v>0.51</v>
      </c>
      <c r="N298" s="25"/>
      <c r="O298" s="24"/>
      <c r="P298" s="26">
        <f t="shared" si="4"/>
        <v>1.9200000000000002</v>
      </c>
    </row>
    <row r="299" spans="2:16" x14ac:dyDescent="0.25">
      <c r="B299" s="12" t="s">
        <v>540</v>
      </c>
      <c r="C299" s="13" t="s">
        <v>541</v>
      </c>
      <c r="D299" s="14" t="s">
        <v>15</v>
      </c>
      <c r="E299" s="14" t="s">
        <v>77</v>
      </c>
      <c r="F299" s="29">
        <v>43608</v>
      </c>
      <c r="G299" s="71">
        <f>4.75*0.98045252*0.9900035</f>
        <v>4.6105942753231455</v>
      </c>
      <c r="H299" s="29">
        <v>43734</v>
      </c>
      <c r="I299" s="71">
        <f>1.93*0.9900035</f>
        <v>1.9107067550000001</v>
      </c>
      <c r="J299" s="15"/>
      <c r="K299" s="16"/>
      <c r="L299" s="15"/>
      <c r="M299" s="63"/>
      <c r="N299" s="17"/>
      <c r="O299" s="16"/>
      <c r="P299" s="18">
        <f t="shared" si="4"/>
        <v>6.521301030323146</v>
      </c>
    </row>
    <row r="300" spans="2:16" x14ac:dyDescent="0.25">
      <c r="B300" s="12" t="s">
        <v>542</v>
      </c>
      <c r="C300" s="13" t="s">
        <v>543</v>
      </c>
      <c r="D300" s="14" t="s">
        <v>15</v>
      </c>
      <c r="E300" s="14" t="s">
        <v>16</v>
      </c>
      <c r="F300" s="15">
        <v>43579</v>
      </c>
      <c r="G300" s="16">
        <v>0.64</v>
      </c>
      <c r="H300" s="15">
        <v>43704</v>
      </c>
      <c r="I300" s="16">
        <v>0.39</v>
      </c>
      <c r="J300" s="15"/>
      <c r="K300" s="16"/>
      <c r="L300" s="15"/>
      <c r="M300" s="63"/>
      <c r="N300" s="17"/>
      <c r="O300" s="16"/>
      <c r="P300" s="18">
        <f t="shared" si="4"/>
        <v>1.03</v>
      </c>
    </row>
    <row r="301" spans="2:16" x14ac:dyDescent="0.25">
      <c r="B301" s="12" t="s">
        <v>544</v>
      </c>
      <c r="C301" s="13" t="s">
        <v>545</v>
      </c>
      <c r="D301" s="14" t="s">
        <v>15</v>
      </c>
      <c r="E301" s="14" t="s">
        <v>77</v>
      </c>
      <c r="F301" s="15">
        <v>43629</v>
      </c>
      <c r="G301" s="16">
        <v>37.299999999999997</v>
      </c>
      <c r="H301" s="15">
        <v>43741</v>
      </c>
      <c r="I301" s="16">
        <v>22.7</v>
      </c>
      <c r="J301" s="15"/>
      <c r="K301" s="16"/>
      <c r="L301" s="15"/>
      <c r="M301" s="63"/>
      <c r="N301" s="17"/>
      <c r="O301" s="16"/>
      <c r="P301" s="18">
        <f t="shared" si="4"/>
        <v>60</v>
      </c>
    </row>
    <row r="302" spans="2:16" x14ac:dyDescent="0.25">
      <c r="B302" s="12" t="s">
        <v>548</v>
      </c>
      <c r="C302" s="13" t="s">
        <v>549</v>
      </c>
      <c r="D302" s="14" t="s">
        <v>15</v>
      </c>
      <c r="E302" s="14" t="s">
        <v>21</v>
      </c>
      <c r="F302" s="15">
        <v>43560</v>
      </c>
      <c r="G302" s="16">
        <v>19</v>
      </c>
      <c r="H302" s="15"/>
      <c r="I302" s="16"/>
      <c r="J302" s="15"/>
      <c r="K302" s="16"/>
      <c r="L302" s="15"/>
      <c r="M302" s="63"/>
      <c r="N302" s="17"/>
      <c r="O302" s="16"/>
      <c r="P302" s="18">
        <f t="shared" si="4"/>
        <v>19</v>
      </c>
    </row>
  </sheetData>
  <mergeCells count="2">
    <mergeCell ref="L9:M9"/>
    <mergeCell ref="F11:O11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404ce55e-d47d-4e22-b0f7-c3e46cb4e632" origin="userSelected">
  <element uid="id_classification_nonbusiness" value=""/>
</sisl>
</file>

<file path=customXml/itemProps1.xml><?xml version="1.0" encoding="utf-8"?>
<ds:datastoreItem xmlns:ds="http://schemas.openxmlformats.org/officeDocument/2006/customXml" ds:itemID="{7959FBB4-65FF-4DAC-B5B1-15F9626CB83D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51</vt:i4>
      </vt:variant>
    </vt:vector>
  </HeadingPairs>
  <TitlesOfParts>
    <vt:vector size="65" baseType="lpstr">
      <vt:lpstr>Helper</vt:lpstr>
      <vt:lpstr>2026</vt:lpstr>
      <vt:lpstr>2025_EDSP</vt:lpstr>
      <vt:lpstr>2024_EDSP</vt:lpstr>
      <vt:lpstr>2023_EDSP</vt:lpstr>
      <vt:lpstr>2022_EDSP</vt:lpstr>
      <vt:lpstr>2021_EDSP</vt:lpstr>
      <vt:lpstr>2020_EDSP</vt:lpstr>
      <vt:lpstr>2020_OLD</vt:lpstr>
      <vt:lpstr>EDSP_2019</vt:lpstr>
      <vt:lpstr>EDSP_2018</vt:lpstr>
      <vt:lpstr>EDSP_2017</vt:lpstr>
      <vt:lpstr>EDSP_2016</vt:lpstr>
      <vt:lpstr>EDSP_2015</vt:lpstr>
      <vt:lpstr>Exp20FY</vt:lpstr>
      <vt:lpstr>Exp20FYUS</vt:lpstr>
      <vt:lpstr>Exp20H1</vt:lpstr>
      <vt:lpstr>Exp20Q1</vt:lpstr>
      <vt:lpstr>Exp20Q3</vt:lpstr>
      <vt:lpstr>Exp22FY</vt:lpstr>
      <vt:lpstr>Exp22FYUS</vt:lpstr>
      <vt:lpstr>Exp22H1</vt:lpstr>
      <vt:lpstr>Exp22Q1</vt:lpstr>
      <vt:lpstr>Exp22Q3</vt:lpstr>
      <vt:lpstr>Exp23FY</vt:lpstr>
      <vt:lpstr>Exp23FYUS</vt:lpstr>
      <vt:lpstr>Exp23H1</vt:lpstr>
      <vt:lpstr>Exp23Q1</vt:lpstr>
      <vt:lpstr>Exp23Q3</vt:lpstr>
      <vt:lpstr>Exp24FY</vt:lpstr>
      <vt:lpstr>Exp24FYUS</vt:lpstr>
      <vt:lpstr>Exp24H1</vt:lpstr>
      <vt:lpstr>Exp24Q1</vt:lpstr>
      <vt:lpstr>Exp24Q3</vt:lpstr>
      <vt:lpstr>Exp25FY</vt:lpstr>
      <vt:lpstr>Exp25FYUS</vt:lpstr>
      <vt:lpstr>Exp25H1</vt:lpstr>
      <vt:lpstr>Exp25Q1</vt:lpstr>
      <vt:lpstr>Exp25Q3</vt:lpstr>
      <vt:lpstr>Exp26FY</vt:lpstr>
      <vt:lpstr>Exp26FYUS</vt:lpstr>
      <vt:lpstr>Exp26H1</vt:lpstr>
      <vt:lpstr>Exp26Q1</vt:lpstr>
      <vt:lpstr>Exp26Q3</vt:lpstr>
      <vt:lpstr>ExpFY</vt:lpstr>
      <vt:lpstr>ExpFYUS</vt:lpstr>
      <vt:lpstr>ExpH1</vt:lpstr>
      <vt:lpstr>ExpQ1</vt:lpstr>
      <vt:lpstr>ExpQ3</vt:lpstr>
      <vt:lpstr>EDSP_2015!Print_Area</vt:lpstr>
      <vt:lpstr>EDSP_2016!Print_Area</vt:lpstr>
      <vt:lpstr>Start20EU</vt:lpstr>
      <vt:lpstr>Start20US</vt:lpstr>
      <vt:lpstr>Start22EU</vt:lpstr>
      <vt:lpstr>Start22US</vt:lpstr>
      <vt:lpstr>Start23EU</vt:lpstr>
      <vt:lpstr>Start23US</vt:lpstr>
      <vt:lpstr>Start24EU</vt:lpstr>
      <vt:lpstr>Start24US</vt:lpstr>
      <vt:lpstr>Start25EU</vt:lpstr>
      <vt:lpstr>Start25US</vt:lpstr>
      <vt:lpstr>Start26EU</vt:lpstr>
      <vt:lpstr>Start26US</vt:lpstr>
      <vt:lpstr>StartEU</vt:lpstr>
      <vt:lpstr>StartUS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2018-07-26T08:22:29Z</dcterms:created>
  <dcterms:modified xsi:type="dcterms:W3CDTF">2026-02-27T09:39:19Z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ad41bc31-2299-410b-bb63-5f608cfe0fbf</vt:lpwstr>
  </property>
  <property fmtid="{D5CDD505-2E9C-101B-9397-08002B2CF9AE}" pid="3" name="bjSaver">
    <vt:lpwstr>Rt1qDrn67G09ZTCOVcfcAKDbwY9FAyWI</vt:lpwstr>
  </property>
  <property fmtid="{D5CDD505-2E9C-101B-9397-08002B2CF9AE}" pid="4" name="bjDocumentSecurityLabel">
    <vt:lpwstr>Public</vt:lpwstr>
  </property>
  <property fmtid="{D5CDD505-2E9C-101B-9397-08002B2CF9AE}" pid="5" name="bjDocumentLabelXML">
    <vt:lpwstr>&lt;?xml version="1.0" encoding="us-ascii"?&gt;&lt;sisl xmlns:xsi="http://www.w3.org/2001/XMLSchema-instance" xmlns:xsd="http://www.w3.org/2001/XMLSchema" sislVersion="0" policy="404ce55e-d47d-4e22-b0f7-c3e46cb4e632" origin="userSelected" xmlns="http://www.boldonj</vt:lpwstr>
  </property>
  <property fmtid="{D5CDD505-2E9C-101B-9397-08002B2CF9AE}" pid="6" name="bjDocumentLabelXML-0">
    <vt:lpwstr>ames.com/2008/01/sie/internal/label"&gt;&lt;element uid="id_classification_nonbusiness" value="" /&gt;&lt;/sisl&gt;</vt:lpwstr>
  </property>
  <property fmtid="{D5CDD505-2E9C-101B-9397-08002B2CF9AE}" pid="7" name="MSIP_Label_53e3acdc-8545-4fe6-9665-5ccd769dd7bb_Enabled">
    <vt:lpwstr>true</vt:lpwstr>
  </property>
  <property fmtid="{D5CDD505-2E9C-101B-9397-08002B2CF9AE}" pid="8" name="MSIP_Label_53e3acdc-8545-4fe6-9665-5ccd769dd7bb_SetDate">
    <vt:lpwstr>2021-06-08T07:11:59Z</vt:lpwstr>
  </property>
  <property fmtid="{D5CDD505-2E9C-101B-9397-08002B2CF9AE}" pid="9" name="MSIP_Label_53e3acdc-8545-4fe6-9665-5ccd769dd7bb_Method">
    <vt:lpwstr>Standard</vt:lpwstr>
  </property>
  <property fmtid="{D5CDD505-2E9C-101B-9397-08002B2CF9AE}" pid="10" name="MSIP_Label_53e3acdc-8545-4fe6-9665-5ccd769dd7bb_Name">
    <vt:lpwstr>53e3acdc-8545-4fe6-9665-5ccd769dd7bb</vt:lpwstr>
  </property>
  <property fmtid="{D5CDD505-2E9C-101B-9397-08002B2CF9AE}" pid="11" name="MSIP_Label_53e3acdc-8545-4fe6-9665-5ccd769dd7bb_SiteId">
    <vt:lpwstr>315b1ee5-c224-498b-871e-c140611d6d07</vt:lpwstr>
  </property>
  <property fmtid="{D5CDD505-2E9C-101B-9397-08002B2CF9AE}" pid="12" name="MSIP_Label_53e3acdc-8545-4fe6-9665-5ccd769dd7bb_ActionId">
    <vt:lpwstr/>
  </property>
  <property fmtid="{D5CDD505-2E9C-101B-9397-08002B2CF9AE}" pid="13" name="MSIP_Label_53e3acdc-8545-4fe6-9665-5ccd769dd7bb_ContentBits">
    <vt:lpwstr>0</vt:lpwstr>
  </property>
</Properties>
</file>